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05" windowHeight="4740" tabRatio="578" firstSheet="1" activeTab="1"/>
  </bookViews>
  <sheets>
    <sheet name="données" sheetId="1" state="hidden" r:id="rId1"/>
    <sheet name="Participants" sheetId="2" r:id="rId2"/>
    <sheet name="Phase de poule" sheetId="3" r:id="rId3"/>
    <sheet name="Classement" sheetId="4" r:id="rId4"/>
    <sheet name="Phase finale" sheetId="5" r:id="rId5"/>
    <sheet name="Feuille de match" sheetId="6" r:id="rId6"/>
    <sheet name="Saisie FFB" sheetId="7" r:id="rId7"/>
  </sheets>
  <definedNames>
    <definedName name="_xlfn.IFERROR" hidden="1">#NAME?</definedName>
    <definedName name="categorie">'données'!$B$2:$B$12</definedName>
    <definedName name="class_ap_qual">'Classement'!$B$16:$C$24</definedName>
    <definedName name="classement_final">'Feuille de match'!$P$55:$T$60</definedName>
    <definedName name="forfait">'données'!$H$4:$H$5</definedName>
    <definedName name="format_billard">'données'!$A$21:$A$31</definedName>
    <definedName name="info_joueur">'données'!$D$3:$F$212</definedName>
    <definedName name="Joueur">'données'!$D$3:$D$212</definedName>
    <definedName name="lieux">'données'!$J$2:$J$8</definedName>
    <definedName name="mode_de_jeu">'données'!$A$2:$A$6</definedName>
    <definedName name="phase_finale">'Phase finale'!$H$9:$H$14</definedName>
    <definedName name="poule_a_t_1">'Phase de poule'!$C$4:$H$5</definedName>
    <definedName name="poule_a_t_2">'Phase de poule'!$C$9:$H$10</definedName>
    <definedName name="poule_a_t_3">'Phase de poule'!$C$14:$H$15</definedName>
    <definedName name="poule_b_t_1">'Phase de poule'!$C$6:$H$7</definedName>
    <definedName name="poule_b_t_2">'Phase de poule'!$C$11:$H$12</definedName>
    <definedName name="poule_b_t_3">'Phase de poule'!$C$16:$H$17</definedName>
    <definedName name="pt_final">'données'!$B$16:$B$17</definedName>
    <definedName name="pt_qualif">'données'!$A$16:$A$18</definedName>
    <definedName name="resultats">'Saisie FFB'!$A$12:$M$22</definedName>
    <definedName name="tour">'données'!$C$2:$C$6</definedName>
    <definedName name="tour_num_4">'Phase finale'!$C$4:$I$7</definedName>
    <definedName name="tour_num_5">'Phase finale'!$C$9:$I$14</definedName>
    <definedName name="_xlnm.Print_Area" localSheetId="5">'Feuille de match'!$A$1:$M$64</definedName>
    <definedName name="_xlnm.Print_Area" localSheetId="1">'Participants'!$A$1:$H$20</definedName>
  </definedNames>
  <calcPr fullCalcOnLoad="1"/>
</workbook>
</file>

<file path=xl/comments2.xml><?xml version="1.0" encoding="utf-8"?>
<comments xmlns="http://schemas.openxmlformats.org/spreadsheetml/2006/main">
  <authors>
    <author>Pierre</author>
  </authors>
  <commentList>
    <comment ref="G5" authorId="0">
      <text>
        <r>
          <rPr>
            <u val="single"/>
            <sz val="9"/>
            <rFont val="Tahoma"/>
            <family val="2"/>
          </rPr>
          <t>Distance</t>
        </r>
        <r>
          <rPr>
            <sz val="9"/>
            <rFont val="Tahoma"/>
            <family val="2"/>
          </rPr>
          <t xml:space="preserve"> : </t>
        </r>
        <r>
          <rPr>
            <b/>
            <sz val="9"/>
            <rFont val="Tahoma"/>
            <family val="2"/>
          </rPr>
          <t>25 pts ou 50 rep.</t>
        </r>
        <r>
          <rPr>
            <sz val="9"/>
            <rFont val="Tahoma"/>
            <family val="2"/>
          </rPr>
          <t xml:space="preserve"> par exemple
</t>
        </r>
      </text>
    </comment>
    <comment ref="B7" authorId="0">
      <text>
        <r>
          <rPr>
            <u val="single"/>
            <sz val="9"/>
            <rFont val="Tahoma"/>
            <family val="2"/>
          </rPr>
          <t>Date de l'épreuve :</t>
        </r>
        <r>
          <rPr>
            <b/>
            <sz val="9"/>
            <rFont val="Tahoma"/>
            <family val="2"/>
          </rPr>
          <t xml:space="preserve"> 
23/10/2013</t>
        </r>
        <r>
          <rPr>
            <sz val="9"/>
            <rFont val="Tahoma"/>
            <family val="2"/>
          </rPr>
          <t xml:space="preserve"> par exemple
</t>
        </r>
      </text>
    </comment>
  </commentList>
</comments>
</file>

<file path=xl/sharedStrings.xml><?xml version="1.0" encoding="utf-8"?>
<sst xmlns="http://schemas.openxmlformats.org/spreadsheetml/2006/main" count="963" uniqueCount="627">
  <si>
    <t>Directeur de jeu</t>
  </si>
  <si>
    <t>Mode de jeu</t>
  </si>
  <si>
    <t>Catégorie</t>
  </si>
  <si>
    <t>Distance</t>
  </si>
  <si>
    <t>Tour</t>
  </si>
  <si>
    <t>Nom et Prénom</t>
  </si>
  <si>
    <t>Club d'appartenance</t>
  </si>
  <si>
    <t>Points</t>
  </si>
  <si>
    <t>Reprises</t>
  </si>
  <si>
    <t>Série</t>
  </si>
  <si>
    <t>Points de match</t>
  </si>
  <si>
    <t>Moyenne</t>
  </si>
  <si>
    <t>points</t>
  </si>
  <si>
    <t>série</t>
  </si>
  <si>
    <t>points de match</t>
  </si>
  <si>
    <t>reprises</t>
  </si>
  <si>
    <t>Classement général par poule</t>
  </si>
  <si>
    <t>Fédération Française de Billard</t>
  </si>
  <si>
    <t>Lieu de l'épreuve :</t>
  </si>
  <si>
    <t>Mode de jeu :</t>
  </si>
  <si>
    <t>Catégorie :</t>
  </si>
  <si>
    <t>Distance :</t>
  </si>
  <si>
    <t>Date de l'épreuve :</t>
  </si>
  <si>
    <t>Performances du tournoi</t>
  </si>
  <si>
    <t>Reprises effectuées</t>
  </si>
  <si>
    <t>Moyenne générale</t>
  </si>
  <si>
    <t>Signature :</t>
  </si>
  <si>
    <t>Club :</t>
  </si>
  <si>
    <t>Points de
match</t>
  </si>
  <si>
    <t xml:space="preserve">Total :   </t>
  </si>
  <si>
    <t>Points de ranking obtenus :</t>
  </si>
  <si>
    <t>Moyenne particulière :</t>
  </si>
  <si>
    <t>Signature du joueur</t>
  </si>
  <si>
    <t>Tête de série  A</t>
  </si>
  <si>
    <t>Tête de série  B</t>
  </si>
  <si>
    <t>Forfait</t>
  </si>
  <si>
    <t>Meilleure moyenne particulière</t>
  </si>
  <si>
    <t xml:space="preserve">moyenne </t>
  </si>
  <si>
    <t xml:space="preserve">moyenne particulière </t>
  </si>
  <si>
    <t>Le classement s'effectue selon les points de match puis la moyenne, la moyenne particulière et la série si nécessaire</t>
  </si>
  <si>
    <t>Joueur  N°A2</t>
  </si>
  <si>
    <t>Joueur  N°A3</t>
  </si>
  <si>
    <t>Joueur  N°B2</t>
  </si>
  <si>
    <t>Joueur  N°B3</t>
  </si>
  <si>
    <t>Club</t>
  </si>
  <si>
    <t>Compétiteurs</t>
  </si>
  <si>
    <t>Licence</t>
  </si>
  <si>
    <t>Nom joueur</t>
  </si>
  <si>
    <t>Date de l'épreuve</t>
  </si>
  <si>
    <t>Nationale 3</t>
  </si>
  <si>
    <t>T1</t>
  </si>
  <si>
    <t>Excusé</t>
  </si>
  <si>
    <t>Non excusé</t>
  </si>
  <si>
    <t>T2</t>
  </si>
  <si>
    <t>T3</t>
  </si>
  <si>
    <t>T4</t>
  </si>
  <si>
    <t>T5</t>
  </si>
  <si>
    <t>Libre</t>
  </si>
  <si>
    <t>Bande</t>
  </si>
  <si>
    <t>3 bandes</t>
  </si>
  <si>
    <t>Cadre</t>
  </si>
  <si>
    <t xml:space="preserve">BILLARD CLUB GAILLONNAIS          </t>
  </si>
  <si>
    <t xml:space="preserve">BILLARD CLUB DE LA SAUSSAYE       </t>
  </si>
  <si>
    <t xml:space="preserve">BILLARD AMICAL CLUB LOVERIEN      </t>
  </si>
  <si>
    <t xml:space="preserve">BILLARD CLUB DE SAINT-MARCEL      </t>
  </si>
  <si>
    <t xml:space="preserve">BILLARD CLUB EBROICIEN            </t>
  </si>
  <si>
    <t xml:space="preserve">BILLARD CLUB PACEEN               </t>
  </si>
  <si>
    <t>Sans</t>
  </si>
  <si>
    <t>Régionale</t>
  </si>
  <si>
    <t>Régionale 1</t>
  </si>
  <si>
    <t>Régionale 2</t>
  </si>
  <si>
    <t>Régionale 3</t>
  </si>
  <si>
    <t>Régionale 4</t>
  </si>
  <si>
    <t>Nationale 1</t>
  </si>
  <si>
    <t>Nationale 2</t>
  </si>
  <si>
    <t>Joueur blanc</t>
  </si>
  <si>
    <t>Tour :</t>
  </si>
  <si>
    <t>Date :</t>
  </si>
  <si>
    <t>n° et rue</t>
  </si>
  <si>
    <t>LIEU DE L'EPREUVE</t>
  </si>
  <si>
    <t>Classement</t>
  </si>
  <si>
    <t>Saisir 1, 2 ou 3 dans la colonne classement</t>
  </si>
  <si>
    <r>
      <t>1</t>
    </r>
    <r>
      <rPr>
        <vertAlign val="superscript"/>
        <sz val="9"/>
        <rFont val="Arial Narrow"/>
        <family val="2"/>
      </rPr>
      <t>er</t>
    </r>
  </si>
  <si>
    <r>
      <t>2</t>
    </r>
    <r>
      <rPr>
        <vertAlign val="superscript"/>
        <sz val="9"/>
        <rFont val="Arial Narrow"/>
        <family val="2"/>
      </rPr>
      <t>ème</t>
    </r>
  </si>
  <si>
    <r>
      <t>3</t>
    </r>
    <r>
      <rPr>
        <vertAlign val="superscript"/>
        <sz val="9"/>
        <rFont val="Arial Narrow"/>
        <family val="2"/>
      </rPr>
      <t>ème</t>
    </r>
  </si>
  <si>
    <t>Classement des vainqueurs de poule</t>
  </si>
  <si>
    <r>
      <t>4</t>
    </r>
    <r>
      <rPr>
        <vertAlign val="superscript"/>
        <sz val="9"/>
        <rFont val="Arial Narrow"/>
        <family val="2"/>
      </rPr>
      <t>ème</t>
    </r>
  </si>
  <si>
    <r>
      <t>5</t>
    </r>
    <r>
      <rPr>
        <vertAlign val="superscript"/>
        <sz val="9"/>
        <rFont val="Arial Narrow"/>
        <family val="2"/>
      </rPr>
      <t>ème</t>
    </r>
  </si>
  <si>
    <r>
      <t>6</t>
    </r>
    <r>
      <rPr>
        <vertAlign val="superscript"/>
        <sz val="9"/>
        <rFont val="Arial Narrow"/>
        <family val="2"/>
      </rPr>
      <t>ème</t>
    </r>
  </si>
  <si>
    <t>Dans tous les feuillets :</t>
  </si>
  <si>
    <t>CP + Ville</t>
  </si>
  <si>
    <t>***</t>
  </si>
  <si>
    <t>3, rue Saint Jean</t>
  </si>
  <si>
    <t>27400   LOUVIERS</t>
  </si>
  <si>
    <t>Le Mille Club</t>
  </si>
  <si>
    <t>rue Lesage  - Maille</t>
  </si>
  <si>
    <t>27370   LA SAUSSAYE</t>
  </si>
  <si>
    <t>Espace Saint Exupéry</t>
  </si>
  <si>
    <t>2, rue Jules Ferry</t>
  </si>
  <si>
    <t>27950   SAINT MARCEL</t>
  </si>
  <si>
    <t>Maison des Jeunes et de la Cullture</t>
  </si>
  <si>
    <t>1, avenue Aristide Briand</t>
  </si>
  <si>
    <t>27000   EVREUX</t>
  </si>
  <si>
    <t>Centre des Arts Contemporains</t>
  </si>
  <si>
    <t>Allée de l'Ermitage</t>
  </si>
  <si>
    <t>27600   GAILLON</t>
  </si>
  <si>
    <t>12, rue Montferrand</t>
  </si>
  <si>
    <t>27120   PACY SUR EURE</t>
  </si>
  <si>
    <t>Gymnase Jacques Sébire</t>
  </si>
  <si>
    <t>Chemin de la Couture</t>
  </si>
  <si>
    <t>27300   BERNAY</t>
  </si>
  <si>
    <t>A</t>
  </si>
  <si>
    <t>B</t>
  </si>
  <si>
    <t>BILLARD CLUB DE SAINT-MARCEL</t>
  </si>
  <si>
    <t>BILLARD CLUB DE LA SAUSSAYE</t>
  </si>
  <si>
    <t>BILLARD AMICAL CLUB LOVERIEN</t>
  </si>
  <si>
    <t>BILLARD CLUB EBROICIEN</t>
  </si>
  <si>
    <t>BILLARD CLUB DE BERNAY</t>
  </si>
  <si>
    <t>BILLARD CLUB GAILLONNAIS</t>
  </si>
  <si>
    <t>BILLARD CLUB PACEEN</t>
  </si>
  <si>
    <t>Joueur</t>
  </si>
  <si>
    <t>Poule</t>
  </si>
  <si>
    <t>1/2 finales</t>
  </si>
  <si>
    <t>Places</t>
  </si>
  <si>
    <t>1 / 2</t>
  </si>
  <si>
    <t>3 / 4</t>
  </si>
  <si>
    <t>5 / 6</t>
  </si>
  <si>
    <t>Date</t>
  </si>
  <si>
    <t>CLASSEMENT</t>
  </si>
  <si>
    <t>Places 1 à 6 - Cases vides</t>
  </si>
  <si>
    <t>Nom Club</t>
  </si>
  <si>
    <t>Tête de série A1</t>
  </si>
  <si>
    <t>Joueur A2</t>
  </si>
  <si>
    <t>Joueur A3</t>
  </si>
  <si>
    <t>Tête de série B1</t>
  </si>
  <si>
    <t>Joueur B2</t>
  </si>
  <si>
    <t>Joueur B3</t>
  </si>
  <si>
    <t>4 billes</t>
  </si>
  <si>
    <t>Cadets</t>
  </si>
  <si>
    <t>Juniors</t>
  </si>
  <si>
    <t>Féminines</t>
  </si>
  <si>
    <t>Poule A</t>
  </si>
  <si>
    <t>Poule B</t>
  </si>
  <si>
    <t>Vainqueur T1</t>
  </si>
  <si>
    <t>Total</t>
  </si>
  <si>
    <t>Nb_vide T1A</t>
  </si>
  <si>
    <t>Nb_vide T1B</t>
  </si>
  <si>
    <r>
      <rPr>
        <b/>
        <u val="single"/>
        <sz val="14"/>
        <color indexed="10"/>
        <rFont val="Arial Narrow"/>
        <family val="2"/>
      </rPr>
      <t>ATTENTION</t>
    </r>
    <r>
      <rPr>
        <b/>
        <sz val="11"/>
        <rFont val="Arial Narrow"/>
        <family val="2"/>
      </rPr>
      <t xml:space="preserve">
</t>
    </r>
    <r>
      <rPr>
        <b/>
        <sz val="10"/>
        <rFont val="Arial Narrow"/>
        <family val="2"/>
      </rPr>
      <t xml:space="preserve">Si après le premier tour, 2 joueurs sont à égalité </t>
    </r>
    <r>
      <rPr>
        <i/>
        <sz val="10"/>
        <rFont val="Arial Narrow"/>
        <family val="2"/>
      </rPr>
      <t>(points, reprises et série)</t>
    </r>
    <r>
      <rPr>
        <b/>
        <sz val="10"/>
        <rFont val="Arial Narrow"/>
        <family val="2"/>
      </rPr>
      <t xml:space="preserve"> c'est </t>
    </r>
    <r>
      <rPr>
        <b/>
        <u val="single"/>
        <sz val="10"/>
        <rFont val="Arial Narrow"/>
        <family val="2"/>
      </rPr>
      <t>le joueur n° 3</t>
    </r>
    <r>
      <rPr>
        <b/>
        <sz val="10"/>
        <rFont val="Arial Narrow"/>
        <family val="2"/>
      </rPr>
      <t xml:space="preserve"> qui dispute le 2</t>
    </r>
    <r>
      <rPr>
        <b/>
        <vertAlign val="superscript"/>
        <sz val="10"/>
        <rFont val="Arial Narrow"/>
        <family val="2"/>
      </rPr>
      <t>ème</t>
    </r>
    <r>
      <rPr>
        <b/>
        <sz val="10"/>
        <rFont val="Arial Narrow"/>
        <family val="2"/>
      </rPr>
      <t xml:space="preserve"> tour contre le joueur n° 1</t>
    </r>
  </si>
  <si>
    <t>Ranking   -   T6   -   Phase de Poule</t>
  </si>
  <si>
    <r>
      <rPr>
        <sz val="9"/>
        <rFont val="Arial Narrow"/>
        <family val="2"/>
      </rPr>
      <t>3</t>
    </r>
    <r>
      <rPr>
        <vertAlign val="superscript"/>
        <sz val="9"/>
        <rFont val="Arial Narrow"/>
        <family val="2"/>
      </rPr>
      <t>ème</t>
    </r>
  </si>
  <si>
    <t>Saisir 1 ou 2 dans la colonne classement</t>
  </si>
  <si>
    <t>Saisir 3, 4, 5, ou 6 dans la colonne classement</t>
  </si>
  <si>
    <t>Rang</t>
  </si>
  <si>
    <t>Ranking   -   T6   -   Phase finale</t>
  </si>
  <si>
    <t>Points réalisés</t>
  </si>
  <si>
    <t>Meilleure série</t>
  </si>
  <si>
    <t>Phase de poule</t>
  </si>
  <si>
    <t>Feuille de match</t>
  </si>
  <si>
    <t>Participants</t>
  </si>
  <si>
    <t>Phase finale</t>
  </si>
  <si>
    <t>Qualif</t>
  </si>
  <si>
    <t>Final</t>
  </si>
  <si>
    <t>Gagné</t>
  </si>
  <si>
    <t>Nul</t>
  </si>
  <si>
    <t>Perdu</t>
  </si>
  <si>
    <t>=  2 points</t>
  </si>
  <si>
    <t>=  1 point</t>
  </si>
  <si>
    <t>Format billard</t>
  </si>
  <si>
    <t>2m40</t>
  </si>
  <si>
    <t>2m60</t>
  </si>
  <si>
    <t>2m80</t>
  </si>
  <si>
    <t>3m10</t>
  </si>
  <si>
    <t>2m40 pc</t>
  </si>
  <si>
    <t>2m60 pc</t>
  </si>
  <si>
    <t>2m60 gc</t>
  </si>
  <si>
    <t>2m80 pc</t>
  </si>
  <si>
    <t>2m80 gc</t>
  </si>
  <si>
    <t>3m10 pc</t>
  </si>
  <si>
    <t>3m10 gc</t>
  </si>
  <si>
    <t>Format  billard</t>
  </si>
  <si>
    <t>Tableau d'aide à la saisie des résultats sur les sites FFB</t>
  </si>
  <si>
    <t>Compétition</t>
  </si>
  <si>
    <t xml:space="preserve">Lieu :   </t>
  </si>
  <si>
    <t xml:space="preserve">Date :   </t>
  </si>
  <si>
    <t xml:space="preserve">Mode de jeu :   </t>
  </si>
  <si>
    <t xml:space="preserve">Catégorie :   </t>
  </si>
  <si>
    <t xml:space="preserve">Tour :   </t>
  </si>
  <si>
    <t xml:space="preserve">Format billard :   </t>
  </si>
  <si>
    <t>Joueur 1</t>
  </si>
  <si>
    <t>Joueur 2</t>
  </si>
  <si>
    <t>N° match</t>
  </si>
  <si>
    <t>Nom</t>
  </si>
  <si>
    <t>Total des pts de classement :</t>
  </si>
  <si>
    <t>Pts de classement acquis :</t>
  </si>
  <si>
    <t>Les cellules grisées sont à renseigner à partir de listes préétablies ou bien manuellement.
Il est possible de saisir une donnée différente de celles proposées par la liste.</t>
  </si>
  <si>
    <r>
      <t xml:space="preserve">Points de </t>
    </r>
    <r>
      <rPr>
        <b/>
        <sz val="9"/>
        <color indexed="13"/>
        <rFont val="Arial Narrow"/>
        <family val="2"/>
      </rPr>
      <t>Classement</t>
    </r>
    <r>
      <rPr>
        <b/>
        <sz val="8"/>
        <color indexed="9"/>
        <rFont val="Arial Narrow"/>
        <family val="2"/>
      </rPr>
      <t xml:space="preserve">
acquis avant ce tour</t>
    </r>
  </si>
  <si>
    <t>Les Clubs</t>
  </si>
  <si>
    <t>=  0 point</t>
  </si>
  <si>
    <t>Classement des joueurs de 3 à 6</t>
  </si>
  <si>
    <t>100560S</t>
  </si>
  <si>
    <t>017571V</t>
  </si>
  <si>
    <t>112270C</t>
  </si>
  <si>
    <t>017706A</t>
  </si>
  <si>
    <t>017629B</t>
  </si>
  <si>
    <t>137339H</t>
  </si>
  <si>
    <t>169239F</t>
  </si>
  <si>
    <t>152578W</t>
  </si>
  <si>
    <t>017658E</t>
  </si>
  <si>
    <t>017610I</t>
  </si>
  <si>
    <t>010634A</t>
  </si>
  <si>
    <t>018027J</t>
  </si>
  <si>
    <t>126208E</t>
  </si>
  <si>
    <t>145961X</t>
  </si>
  <si>
    <t>142307J</t>
  </si>
  <si>
    <t>106284W</t>
  </si>
  <si>
    <t>017476E</t>
  </si>
  <si>
    <t>017627Z</t>
  </si>
  <si>
    <t>145451H</t>
  </si>
  <si>
    <t>163172L</t>
  </si>
  <si>
    <t>136046O</t>
  </si>
  <si>
    <t>161710X</t>
  </si>
  <si>
    <t>168801E</t>
  </si>
  <si>
    <t>147667H</t>
  </si>
  <si>
    <t>017461P</t>
  </si>
  <si>
    <t>017687H</t>
  </si>
  <si>
    <t>152484T</t>
  </si>
  <si>
    <t>017653Z</t>
  </si>
  <si>
    <t>163902E</t>
  </si>
  <si>
    <t>166245B</t>
  </si>
  <si>
    <t>017614M</t>
  </si>
  <si>
    <t>169320T</t>
  </si>
  <si>
    <t>165970C</t>
  </si>
  <si>
    <t>153100N</t>
  </si>
  <si>
    <t>127747J</t>
  </si>
  <si>
    <t>169351C</t>
  </si>
  <si>
    <t>018043Z</t>
  </si>
  <si>
    <t>153309Q</t>
  </si>
  <si>
    <t>158108G</t>
  </si>
  <si>
    <t>126235F</t>
  </si>
  <si>
    <t>142932K</t>
  </si>
  <si>
    <t>156736Q</t>
  </si>
  <si>
    <t>017827R</t>
  </si>
  <si>
    <t>150068S</t>
  </si>
  <si>
    <t>017655B</t>
  </si>
  <si>
    <t>165969B</t>
  </si>
  <si>
    <t>118093B</t>
  </si>
  <si>
    <t>163598Z</t>
  </si>
  <si>
    <t>118084S</t>
  </si>
  <si>
    <t>155024E</t>
  </si>
  <si>
    <t>127143D</t>
  </si>
  <si>
    <t>017495X</t>
  </si>
  <si>
    <t>017478G</t>
  </si>
  <si>
    <t>149904P</t>
  </si>
  <si>
    <t>018141T</t>
  </si>
  <si>
    <t>017671R</t>
  </si>
  <si>
    <t>159676L</t>
  </si>
  <si>
    <t>018140S</t>
  </si>
  <si>
    <t>018005N</t>
  </si>
  <si>
    <t>166757H</t>
  </si>
  <si>
    <t>126237H</t>
  </si>
  <si>
    <t>169557B</t>
  </si>
  <si>
    <t>164847G</t>
  </si>
  <si>
    <t>ATTENTION   -   Saison 2019 / 2020</t>
  </si>
  <si>
    <r>
      <rPr>
        <i/>
        <u val="single"/>
        <sz val="10"/>
        <rFont val="Arial Narrow"/>
        <family val="2"/>
      </rPr>
      <t xml:space="preserve">Points de ranking </t>
    </r>
    <r>
      <rPr>
        <i/>
        <sz val="10"/>
        <rFont val="Arial Narrow"/>
        <family val="2"/>
      </rPr>
      <t xml:space="preserve">: </t>
    </r>
    <r>
      <rPr>
        <b/>
        <i/>
        <sz val="10"/>
        <rFont val="Arial Narrow"/>
        <family val="2"/>
      </rPr>
      <t>1</t>
    </r>
    <r>
      <rPr>
        <b/>
        <i/>
        <vertAlign val="superscript"/>
        <sz val="10"/>
        <rFont val="Arial Narrow"/>
        <family val="2"/>
      </rPr>
      <t>er</t>
    </r>
    <r>
      <rPr>
        <b/>
        <i/>
        <sz val="10"/>
        <rFont val="Arial Narrow"/>
        <family val="2"/>
      </rPr>
      <t xml:space="preserve"> = 22</t>
    </r>
    <r>
      <rPr>
        <i/>
        <sz val="10"/>
        <rFont val="Arial Narrow"/>
        <family val="2"/>
      </rPr>
      <t xml:space="preserve">   &amp;   </t>
    </r>
    <r>
      <rPr>
        <b/>
        <i/>
        <sz val="10"/>
        <rFont val="Arial Narrow"/>
        <family val="2"/>
      </rPr>
      <t>2</t>
    </r>
    <r>
      <rPr>
        <b/>
        <i/>
        <vertAlign val="superscript"/>
        <sz val="10"/>
        <rFont val="Arial Narrow"/>
        <family val="2"/>
      </rPr>
      <t>ème</t>
    </r>
    <r>
      <rPr>
        <b/>
        <i/>
        <sz val="10"/>
        <rFont val="Arial Narrow"/>
        <family val="2"/>
      </rPr>
      <t xml:space="preserve"> = 19</t>
    </r>
  </si>
  <si>
    <t>points inchangés pour les autres places</t>
  </si>
  <si>
    <r>
      <rPr>
        <i/>
        <u val="single"/>
        <sz val="10"/>
        <rFont val="Arial Narrow"/>
        <family val="2"/>
      </rPr>
      <t xml:space="preserve">Points de classement </t>
    </r>
    <r>
      <rPr>
        <i/>
        <sz val="10"/>
        <rFont val="Arial Narrow"/>
        <family val="2"/>
      </rPr>
      <t>= points de ranking + points de match</t>
    </r>
  </si>
  <si>
    <t>Rang:</t>
  </si>
  <si>
    <t>Points de match :</t>
  </si>
  <si>
    <t>Rang :</t>
  </si>
  <si>
    <t>Comité Départemental de Billard de l'Eure</t>
  </si>
  <si>
    <t>CDBE   -   Tournoi qualificatif pour la finale de Ligue</t>
  </si>
  <si>
    <t>013242I</t>
  </si>
  <si>
    <t>164248F</t>
  </si>
  <si>
    <t>172274E</t>
  </si>
  <si>
    <t>170827G</t>
  </si>
  <si>
    <t>126236G</t>
  </si>
  <si>
    <t>165041S</t>
  </si>
  <si>
    <t>163804Y</t>
  </si>
  <si>
    <t>148240F</t>
  </si>
  <si>
    <t>136045N</t>
  </si>
  <si>
    <t>169252V</t>
  </si>
  <si>
    <t>172881P</t>
  </si>
  <si>
    <t>173897T</t>
  </si>
  <si>
    <t>143287B</t>
  </si>
  <si>
    <t>144380C</t>
  </si>
  <si>
    <t>017872K</t>
  </si>
  <si>
    <t>168099R</t>
  </si>
  <si>
    <t>166710G</t>
  </si>
  <si>
    <t>168202D</t>
  </si>
  <si>
    <t>133469L</t>
  </si>
  <si>
    <t>133458A</t>
  </si>
  <si>
    <t>150883D</t>
  </si>
  <si>
    <t>169924A</t>
  </si>
  <si>
    <t>101636C</t>
  </si>
  <si>
    <t>173650A</t>
  </si>
  <si>
    <t>153670H</t>
  </si>
  <si>
    <t>152576T</t>
  </si>
  <si>
    <t>152577V</t>
  </si>
  <si>
    <t>149872E</t>
  </si>
  <si>
    <t>ALLIX GERARD</t>
  </si>
  <si>
    <t>ARRIVE JEAN LUC</t>
  </si>
  <si>
    <t>AZIZA WILLIAM</t>
  </si>
  <si>
    <t>177343P</t>
  </si>
  <si>
    <t>BAILLY NICOLAS</t>
  </si>
  <si>
    <t>129095F</t>
  </si>
  <si>
    <t>BARBIER JEAN LUC</t>
  </si>
  <si>
    <t>BARETTE ROMAIN</t>
  </si>
  <si>
    <t>BASSIERE JEAN PIERRE</t>
  </si>
  <si>
    <t>154338J</t>
  </si>
  <si>
    <t>BAUMANN CHRISTOPHE</t>
  </si>
  <si>
    <t>175534Y</t>
  </si>
  <si>
    <t>BAUX REGIS</t>
  </si>
  <si>
    <t>BELDAME DANIEL</t>
  </si>
  <si>
    <t>BELINY GILLES</t>
  </si>
  <si>
    <t>BETON DOMINIQUE</t>
  </si>
  <si>
    <t>BEZARD GEORGES</t>
  </si>
  <si>
    <t>BEZNOSUC MARIE JOSE</t>
  </si>
  <si>
    <t>BILLIET HERVE</t>
  </si>
  <si>
    <t>177710N</t>
  </si>
  <si>
    <t>BOCOGNANO PHILIPPE</t>
  </si>
  <si>
    <t>177952B</t>
  </si>
  <si>
    <t>BOUCHER ERIC</t>
  </si>
  <si>
    <t>176404T</t>
  </si>
  <si>
    <t>BOULIER ALAIN</t>
  </si>
  <si>
    <t>BOURDON PASCAL</t>
  </si>
  <si>
    <t>162365J</t>
  </si>
  <si>
    <t>BRENOT REYNALD</t>
  </si>
  <si>
    <t>177953C</t>
  </si>
  <si>
    <t>BRULARD DANIEL</t>
  </si>
  <si>
    <t>BUTELET JEAN PAUL</t>
  </si>
  <si>
    <t>CAJEAN PHILIPPE</t>
  </si>
  <si>
    <t>CHALVET PATRICE</t>
  </si>
  <si>
    <t>CHARQUET GUY</t>
  </si>
  <si>
    <t>170854L</t>
  </si>
  <si>
    <t>CHEVALIER PHILIPPE</t>
  </si>
  <si>
    <t>CHOLLET LIONEL</t>
  </si>
  <si>
    <t>107240Q</t>
  </si>
  <si>
    <t>CLAVARINO JOCELYNE</t>
  </si>
  <si>
    <t>175709N</t>
  </si>
  <si>
    <t>COCHARD PATRICK</t>
  </si>
  <si>
    <t>COLIN ERIC</t>
  </si>
  <si>
    <t>176769Q</t>
  </si>
  <si>
    <t>COLIN GUY</t>
  </si>
  <si>
    <t>111081J</t>
  </si>
  <si>
    <t>CORNO YVES</t>
  </si>
  <si>
    <t>DALUZEAU DOMINIQUE</t>
  </si>
  <si>
    <t>166465Q</t>
  </si>
  <si>
    <t>DAUFRENE JOSE</t>
  </si>
  <si>
    <t>177646T</t>
  </si>
  <si>
    <t>DAUTRY ANNICK</t>
  </si>
  <si>
    <t>DAZY GAELLE</t>
  </si>
  <si>
    <t>177691S</t>
  </si>
  <si>
    <t>DAZY RODOLPHE</t>
  </si>
  <si>
    <t>177690R</t>
  </si>
  <si>
    <t>DE TOFFOLI JEAN ANTOINE</t>
  </si>
  <si>
    <t>DELAPORTE FELIX</t>
  </si>
  <si>
    <t>DELARUE GILLES</t>
  </si>
  <si>
    <t>DESHERAUD RAYMOND</t>
  </si>
  <si>
    <t>DESIL ERIC</t>
  </si>
  <si>
    <t>DEZETANT MARCEL</t>
  </si>
  <si>
    <t>DI TOMMASO HERVE</t>
  </si>
  <si>
    <t>169323X</t>
  </si>
  <si>
    <t>DUCROCQ DIDIER</t>
  </si>
  <si>
    <t>DUGUET DIDIER</t>
  </si>
  <si>
    <t>DUMARTIN BERTRAND</t>
  </si>
  <si>
    <t>DUMOND PIERRE</t>
  </si>
  <si>
    <t>DUMONTROTY DOMINIQUE</t>
  </si>
  <si>
    <t>177648W</t>
  </si>
  <si>
    <t>DUONG KHENN</t>
  </si>
  <si>
    <t>FERRON JEAN MARC</t>
  </si>
  <si>
    <t>FORT JEAN JACQUES</t>
  </si>
  <si>
    <t>176496T</t>
  </si>
  <si>
    <t>FOSSEY MATHIEU</t>
  </si>
  <si>
    <t>GARIN DAVET PHILIPPE</t>
  </si>
  <si>
    <t>176031N</t>
  </si>
  <si>
    <t>GARREAU CYRIL</t>
  </si>
  <si>
    <t>GERMAIN CYRILLE</t>
  </si>
  <si>
    <t>GEYER SERGE</t>
  </si>
  <si>
    <t>GIBERT PATRICK</t>
  </si>
  <si>
    <t>170222Z</t>
  </si>
  <si>
    <t>GIBON HUBERT</t>
  </si>
  <si>
    <t>118079N</t>
  </si>
  <si>
    <t>GILLOT MARCEL</t>
  </si>
  <si>
    <t>GOURSAUD JEAN CLAUDE</t>
  </si>
  <si>
    <t>GRICOURT MARCEL</t>
  </si>
  <si>
    <t>GUILLEMETTE PHILIPPE</t>
  </si>
  <si>
    <t>177715T</t>
  </si>
  <si>
    <t>GUYADER ERWAN</t>
  </si>
  <si>
    <t>GUYADER GAEL</t>
  </si>
  <si>
    <t>HABRAN JEAN PIERRE</t>
  </si>
  <si>
    <t>HONG PHI BANG</t>
  </si>
  <si>
    <t>HUE JACQUES</t>
  </si>
  <si>
    <t>175355D</t>
  </si>
  <si>
    <t>HUGER MICHEL</t>
  </si>
  <si>
    <t>INTROLIGATOR GILLES</t>
  </si>
  <si>
    <t>LAMBERT PHILIPPE</t>
  </si>
  <si>
    <t>177096W</t>
  </si>
  <si>
    <t>LE BIHAN CASSANDRE</t>
  </si>
  <si>
    <t>175632E</t>
  </si>
  <si>
    <t>LE CAER THIERRY</t>
  </si>
  <si>
    <t>129144C</t>
  </si>
  <si>
    <t>LE LAY SYLVAIN</t>
  </si>
  <si>
    <t>017563N</t>
  </si>
  <si>
    <t>LEBOURGEOIS PHILIPPE</t>
  </si>
  <si>
    <t>017763F</t>
  </si>
  <si>
    <t>LEBRAS PHILIPPE</t>
  </si>
  <si>
    <t>LECANU JEAN MARC</t>
  </si>
  <si>
    <t>LECLERC MARC</t>
  </si>
  <si>
    <t>LEFEVRE CHRISTOPHE</t>
  </si>
  <si>
    <t>100535T</t>
  </si>
  <si>
    <t>LEGRAND PATRICK</t>
  </si>
  <si>
    <t>LEGRAND PHILIPPE</t>
  </si>
  <si>
    <t>166852L</t>
  </si>
  <si>
    <t>LEHMANN ANDRE</t>
  </si>
  <si>
    <t>LELEVRIER MICHEL</t>
  </si>
  <si>
    <t>LEMOIGNE PIERRE</t>
  </si>
  <si>
    <t>LENOIR JEAN MARC</t>
  </si>
  <si>
    <t>LEPRETRE BERNARD</t>
  </si>
  <si>
    <t>LEROI JEAN CLAUDE</t>
  </si>
  <si>
    <t>147405Y</t>
  </si>
  <si>
    <t>LETELLIER GILLES</t>
  </si>
  <si>
    <t>LETOURNEUR ALAIN</t>
  </si>
  <si>
    <t>LHEUREUX RICHARD</t>
  </si>
  <si>
    <t>MAGNAN JEAN LUC</t>
  </si>
  <si>
    <t>MALLET PHILIPPE</t>
  </si>
  <si>
    <t>MARCHAND YOHANN</t>
  </si>
  <si>
    <t>177982J</t>
  </si>
  <si>
    <t>MARTINEAU PATRICE</t>
  </si>
  <si>
    <t>169560E</t>
  </si>
  <si>
    <t>MARY JEAN CLAUDE</t>
  </si>
  <si>
    <t>MASSON JEAN PIERRE</t>
  </si>
  <si>
    <t>MATEOS RAYMOND</t>
  </si>
  <si>
    <t>MAUCOLIN JORDANE</t>
  </si>
  <si>
    <t>176207E</t>
  </si>
  <si>
    <t>MAULIEN AXEL</t>
  </si>
  <si>
    <t>MAURO MICHEL</t>
  </si>
  <si>
    <t>176215N</t>
  </si>
  <si>
    <t>MICHAULT MARC</t>
  </si>
  <si>
    <t>163171K</t>
  </si>
  <si>
    <t>MOREL FRANCIS</t>
  </si>
  <si>
    <t>MOTTEAU LAURENT</t>
  </si>
  <si>
    <t>MOUSSART MICHEL</t>
  </si>
  <si>
    <t>166997T</t>
  </si>
  <si>
    <t>NOWAK MICHAEL</t>
  </si>
  <si>
    <t>PAJON MARIE PIERRE</t>
  </si>
  <si>
    <t>PAPI FABRICE</t>
  </si>
  <si>
    <t>176494R</t>
  </si>
  <si>
    <t>PARENT ALAIN</t>
  </si>
  <si>
    <t>PATRICE BERNARD</t>
  </si>
  <si>
    <t>PETITGRAND CLAUDE</t>
  </si>
  <si>
    <t>PICARD ANDRE</t>
  </si>
  <si>
    <t>148806W</t>
  </si>
  <si>
    <t>PRIEUR SEBASTIEN</t>
  </si>
  <si>
    <t>QUEREY ANDRE</t>
  </si>
  <si>
    <t>REIBAUD JEAN PAUL</t>
  </si>
  <si>
    <t>REICHSTADT ERIC</t>
  </si>
  <si>
    <t>RICHARD JEAN JACQUES</t>
  </si>
  <si>
    <t>177480N</t>
  </si>
  <si>
    <t>RIPOLL JEAN YVES</t>
  </si>
  <si>
    <t>RIQUOIS ALAIN</t>
  </si>
  <si>
    <t>177961L</t>
  </si>
  <si>
    <t>ROBERT PIERRE</t>
  </si>
  <si>
    <t>134861Z</t>
  </si>
  <si>
    <t>RODRIGUEZ JACQUES</t>
  </si>
  <si>
    <t>177951A</t>
  </si>
  <si>
    <t>RONDU JACQUES</t>
  </si>
  <si>
    <t>ROQUIGNY REMY</t>
  </si>
  <si>
    <t>ROUILLARD MATHIAS</t>
  </si>
  <si>
    <t>176768P</t>
  </si>
  <si>
    <t>ROUSSET JEAN PAUL</t>
  </si>
  <si>
    <t>SAMSON RONALD</t>
  </si>
  <si>
    <t>SANNIER SERGE</t>
  </si>
  <si>
    <t>017829T</t>
  </si>
  <si>
    <t>SCHMITT CLAUDE</t>
  </si>
  <si>
    <t>SCHWARTZ ALAIN</t>
  </si>
  <si>
    <t>SMITH HELENE</t>
  </si>
  <si>
    <t>SMITH LOUIS</t>
  </si>
  <si>
    <t>STAIGRE JEROME</t>
  </si>
  <si>
    <t>TETELAIN DOMINIQUE</t>
  </si>
  <si>
    <t>174813P</t>
  </si>
  <si>
    <t>THUILLIER JEAN CLAUDE</t>
  </si>
  <si>
    <t>TOUTAIN REMI</t>
  </si>
  <si>
    <t>TREHET SERGE</t>
  </si>
  <si>
    <t>VELLA PIERRE</t>
  </si>
  <si>
    <t>152825P</t>
  </si>
  <si>
    <t>VIGNE PIERRE</t>
  </si>
  <si>
    <t>VINCENT DANIEL</t>
  </si>
  <si>
    <t>VUILLEQUEY GEORGES</t>
  </si>
  <si>
    <t>WATRIQUANT PHILIPPE</t>
  </si>
  <si>
    <t>WILLEMYNS JACK</t>
  </si>
  <si>
    <t>ZELLOU HOSSINE</t>
  </si>
  <si>
    <t>172716K</t>
  </si>
  <si>
    <t>ANDRIEU GILLES</t>
  </si>
  <si>
    <t>178612T</t>
  </si>
  <si>
    <t>ANTEM ANTOINE</t>
  </si>
  <si>
    <t>017606E</t>
  </si>
  <si>
    <t>BAZIN PATRICK</t>
  </si>
  <si>
    <t>174964D</t>
  </si>
  <si>
    <t>BORDET RICHARD</t>
  </si>
  <si>
    <t>178635T</t>
  </si>
  <si>
    <t>BRIQUET MCHELLE</t>
  </si>
  <si>
    <t>178664A</t>
  </si>
  <si>
    <t>BUCHET ISABELLE</t>
  </si>
  <si>
    <t>173097Z</t>
  </si>
  <si>
    <t>CADORIN NATHALIE</t>
  </si>
  <si>
    <t>177445A</t>
  </si>
  <si>
    <t>CAREYE DANIEL</t>
  </si>
  <si>
    <t>137983B</t>
  </si>
  <si>
    <t>CASSE DENIS</t>
  </si>
  <si>
    <t>177713R</t>
  </si>
  <si>
    <t>CASSE TIMOTHEE</t>
  </si>
  <si>
    <t>177714S</t>
  </si>
  <si>
    <t>CAVET SERGE</t>
  </si>
  <si>
    <t>175449F</t>
  </si>
  <si>
    <t>COURTOUX NORA</t>
  </si>
  <si>
    <t>177732M</t>
  </si>
  <si>
    <t>CUDORGE GAEL</t>
  </si>
  <si>
    <t>175247L</t>
  </si>
  <si>
    <t>DELAIR LAURENT</t>
  </si>
  <si>
    <t>176405V</t>
  </si>
  <si>
    <t>DELALONDRE MAX</t>
  </si>
  <si>
    <t>110690I</t>
  </si>
  <si>
    <t>DELAMARRE ERIC</t>
  </si>
  <si>
    <t>129114Y</t>
  </si>
  <si>
    <t>DELOBEL FREDERIC</t>
  </si>
  <si>
    <t>126193P</t>
  </si>
  <si>
    <t>DEMARCY WILLIAM</t>
  </si>
  <si>
    <t>145380O</t>
  </si>
  <si>
    <t>DOLLET REMY</t>
  </si>
  <si>
    <t>176567W</t>
  </si>
  <si>
    <t>DOUTRELIGNE JAMES</t>
  </si>
  <si>
    <t>177345R</t>
  </si>
  <si>
    <t>DROUARD ERIC</t>
  </si>
  <si>
    <t>179085H</t>
  </si>
  <si>
    <t>DROUARD MATEO</t>
  </si>
  <si>
    <t>179084G</t>
  </si>
  <si>
    <t>DUBREUIL MICHEL</t>
  </si>
  <si>
    <t>156963M</t>
  </si>
  <si>
    <t>DUCASSE FREDERIC</t>
  </si>
  <si>
    <t>177347T</t>
  </si>
  <si>
    <t>DUCROCQ MICKAEL</t>
  </si>
  <si>
    <t>145450G</t>
  </si>
  <si>
    <t>DUMOUCHEL BERTRAND</t>
  </si>
  <si>
    <t>166914D</t>
  </si>
  <si>
    <t>DUPONCHELLE YVON</t>
  </si>
  <si>
    <t>160784Q</t>
  </si>
  <si>
    <t>DUVAL LUDOVIC</t>
  </si>
  <si>
    <t>159869W</t>
  </si>
  <si>
    <t>EUDELINE MICHEL</t>
  </si>
  <si>
    <t>017479H</t>
  </si>
  <si>
    <t>EUGENE GUY</t>
  </si>
  <si>
    <t>172737H</t>
  </si>
  <si>
    <t>EVDOKIMOFF SERGE</t>
  </si>
  <si>
    <t>178353M</t>
  </si>
  <si>
    <t>EVRARD JAMES</t>
  </si>
  <si>
    <t>157076K</t>
  </si>
  <si>
    <t>FAURE MICHEL</t>
  </si>
  <si>
    <t>175986P</t>
  </si>
  <si>
    <t>FENOUILLET FLORENCE</t>
  </si>
  <si>
    <t>176251C</t>
  </si>
  <si>
    <t>GAUTHERON ALAIN</t>
  </si>
  <si>
    <t>165323Z</t>
  </si>
  <si>
    <t>GOULAMOUGAIDINE BASIAH</t>
  </si>
  <si>
    <t>129090A</t>
  </si>
  <si>
    <t>HAIN PATRICK</t>
  </si>
  <si>
    <t>178354N</t>
  </si>
  <si>
    <t>HEMPEL JEAN</t>
  </si>
  <si>
    <t>017748Q</t>
  </si>
  <si>
    <t>KENZEY PATRICK</t>
  </si>
  <si>
    <t>017485N</t>
  </si>
  <si>
    <t>LAMBERT MARC</t>
  </si>
  <si>
    <t>169569P</t>
  </si>
  <si>
    <t>LECORNE LAURENT</t>
  </si>
  <si>
    <t>171962Q</t>
  </si>
  <si>
    <t>LEROY MATHIEU</t>
  </si>
  <si>
    <t>178114C</t>
  </si>
  <si>
    <t>LING BENJAMIN</t>
  </si>
  <si>
    <t>162981D</t>
  </si>
  <si>
    <t>MARGUERIE CLEMENT</t>
  </si>
  <si>
    <t>179086J</t>
  </si>
  <si>
    <t>MATHIEU DOMINIQUE</t>
  </si>
  <si>
    <t>179083F</t>
  </si>
  <si>
    <t>MAZZOLI ALBERTO TONI</t>
  </si>
  <si>
    <t>175708M</t>
  </si>
  <si>
    <t>METAIS DIDIER</t>
  </si>
  <si>
    <t>176495S</t>
  </si>
  <si>
    <t>MEURANT DOMINIQUE</t>
  </si>
  <si>
    <t>178815P</t>
  </si>
  <si>
    <t>MIRKOVIC MICHEL</t>
  </si>
  <si>
    <t>147085A</t>
  </si>
  <si>
    <t>MOREL CHRISTIAN</t>
  </si>
  <si>
    <t>172880N</t>
  </si>
  <si>
    <t>NOEL THIERRY</t>
  </si>
  <si>
    <t>175153J</t>
  </si>
  <si>
    <t>OLIVIER ANNIE</t>
  </si>
  <si>
    <t>179208R</t>
  </si>
  <si>
    <t>PAGE SEBASTIEN</t>
  </si>
  <si>
    <t>178614W</t>
  </si>
  <si>
    <t>PARMENTIER FRANC</t>
  </si>
  <si>
    <t>017477F</t>
  </si>
  <si>
    <t>PELFRENE ANTHONY</t>
  </si>
  <si>
    <t>178437D</t>
  </si>
  <si>
    <t>PELFRENE JEAN LUC</t>
  </si>
  <si>
    <t>175907D</t>
  </si>
  <si>
    <t>PETIT PASCAL</t>
  </si>
  <si>
    <t>178865T</t>
  </si>
  <si>
    <t>RAMIREZ GEORGES</t>
  </si>
  <si>
    <t>178281J</t>
  </si>
  <si>
    <t>RENVOISE JEAN MICHEL</t>
  </si>
  <si>
    <t>142473T</t>
  </si>
  <si>
    <t>RIGUET PATRICK</t>
  </si>
  <si>
    <t>173896S</t>
  </si>
  <si>
    <t>ROUGIER JACQUES</t>
  </si>
  <si>
    <t>162980C</t>
  </si>
  <si>
    <t>TILLON YVES</t>
  </si>
  <si>
    <t>153297C</t>
  </si>
  <si>
    <t>TURPIN DOMINIQUE</t>
  </si>
  <si>
    <t>169854Z</t>
  </si>
  <si>
    <t>TY JOSHUA</t>
  </si>
  <si>
    <t>161122H</t>
  </si>
  <si>
    <t>VISIEDO GABRIEL</t>
  </si>
  <si>
    <t>174306N</t>
  </si>
  <si>
    <t>VIVES PASCAL</t>
  </si>
  <si>
    <t>174310S</t>
  </si>
  <si>
    <t>WEIPPERT MARC</t>
  </si>
  <si>
    <t>148239E</t>
  </si>
  <si>
    <r>
      <t>Version : 3.0
du :</t>
    </r>
    <r>
      <rPr>
        <b/>
        <sz val="12"/>
        <color indexed="10"/>
        <rFont val="Arial Narrow"/>
        <family val="2"/>
      </rPr>
      <t xml:space="preserve"> 31/10/2022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</si>
</sst>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\ mmmm\ yyyy"/>
    <numFmt numFmtId="175" formatCode="0.000"/>
    <numFmt numFmtId="176" formatCode="[$-40C]dddd\ d\ mmmm\ yyyy"/>
    <numFmt numFmtId="177" formatCode="[$-40C]d\ mmmm\ yyyy;@"/>
    <numFmt numFmtId="178" formatCode="[$-F800]dddd\,\ mmmm\ dd\,\ yyyy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138">
    <font>
      <sz val="10"/>
      <name val="Times New Roman"/>
      <family val="0"/>
    </font>
    <font>
      <sz val="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10"/>
      <color indexed="12"/>
      <name val="Arial Narrow"/>
      <family val="2"/>
    </font>
    <font>
      <b/>
      <sz val="12"/>
      <color indexed="12"/>
      <name val="Arial Narrow"/>
      <family val="2"/>
    </font>
    <font>
      <b/>
      <u val="single"/>
      <sz val="10"/>
      <color indexed="16"/>
      <name val="Arial Narrow"/>
      <family val="2"/>
    </font>
    <font>
      <b/>
      <u val="single"/>
      <sz val="10"/>
      <color indexed="10"/>
      <name val="Arial Narrow"/>
      <family val="2"/>
    </font>
    <font>
      <sz val="8"/>
      <color indexed="9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name val="Tahoma"/>
      <family val="2"/>
    </font>
    <font>
      <b/>
      <sz val="11"/>
      <color indexed="12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18"/>
      <name val="Arial Narrow"/>
      <family val="2"/>
    </font>
    <font>
      <vertAlign val="superscript"/>
      <sz val="9"/>
      <name val="Arial Narrow"/>
      <family val="2"/>
    </font>
    <font>
      <b/>
      <u val="single"/>
      <sz val="10"/>
      <name val="Arial Narrow"/>
      <family val="2"/>
    </font>
    <font>
      <b/>
      <sz val="24"/>
      <name val="Arial Narrow"/>
      <family val="2"/>
    </font>
    <font>
      <b/>
      <sz val="12"/>
      <color indexed="9"/>
      <name val="Arial Narrow"/>
      <family val="2"/>
    </font>
    <font>
      <sz val="8.5"/>
      <name val="Arial Narrow"/>
      <family val="2"/>
    </font>
    <font>
      <b/>
      <i/>
      <u val="single"/>
      <sz val="11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4"/>
      <name val="Arial Narrow"/>
      <family val="2"/>
    </font>
    <font>
      <sz val="14"/>
      <color indexed="9"/>
      <name val="Arial Narrow"/>
      <family val="2"/>
    </font>
    <font>
      <sz val="14"/>
      <color indexed="12"/>
      <name val="Arial Narrow"/>
      <family val="2"/>
    </font>
    <font>
      <b/>
      <u val="single"/>
      <sz val="9"/>
      <name val="Arial Narrow"/>
      <family val="2"/>
    </font>
    <font>
      <u val="single"/>
      <sz val="9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9"/>
      <name val="Arial Narrow"/>
      <family val="2"/>
    </font>
    <font>
      <u val="single"/>
      <sz val="8"/>
      <name val="Arial Narrow"/>
      <family val="2"/>
    </font>
    <font>
      <b/>
      <sz val="28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b/>
      <sz val="9"/>
      <color indexed="10"/>
      <name val="Arial Narrow"/>
      <family val="2"/>
    </font>
    <font>
      <b/>
      <sz val="20"/>
      <name val="Arial Narrow"/>
      <family val="2"/>
    </font>
    <font>
      <b/>
      <sz val="14"/>
      <name val="Arial Narrow"/>
      <family val="2"/>
    </font>
    <font>
      <b/>
      <sz val="36"/>
      <name val="Stencil"/>
      <family val="5"/>
    </font>
    <font>
      <b/>
      <sz val="18"/>
      <color indexed="13"/>
      <name val="Arial Narrow"/>
      <family val="2"/>
    </font>
    <font>
      <i/>
      <sz val="10"/>
      <name val="Arial Narrow"/>
      <family val="2"/>
    </font>
    <font>
      <b/>
      <vertAlign val="superscript"/>
      <sz val="10"/>
      <name val="Arial Narrow"/>
      <family val="2"/>
    </font>
    <font>
      <b/>
      <u val="single"/>
      <sz val="14"/>
      <color indexed="10"/>
      <name val="Arial Narrow"/>
      <family val="2"/>
    </font>
    <font>
      <b/>
      <sz val="11"/>
      <color indexed="44"/>
      <name val="Arial Narrow"/>
      <family val="2"/>
    </font>
    <font>
      <b/>
      <u val="single"/>
      <sz val="11"/>
      <color indexed="16"/>
      <name val="Arial Narrow"/>
      <family val="2"/>
    </font>
    <font>
      <b/>
      <sz val="11"/>
      <color indexed="22"/>
      <name val="Arial Narrow"/>
      <family val="2"/>
    </font>
    <font>
      <b/>
      <i/>
      <sz val="9"/>
      <name val="Arial Narrow"/>
      <family val="2"/>
    </font>
    <font>
      <b/>
      <u val="single"/>
      <sz val="18"/>
      <name val="Arial Narrow"/>
      <family val="2"/>
    </font>
    <font>
      <b/>
      <sz val="9"/>
      <color indexed="13"/>
      <name val="Arial Narrow"/>
      <family val="2"/>
    </font>
    <font>
      <sz val="8"/>
      <name val="Segoe UI"/>
      <family val="2"/>
    </font>
    <font>
      <i/>
      <u val="single"/>
      <sz val="10"/>
      <name val="Arial Narrow"/>
      <family val="2"/>
    </font>
    <font>
      <b/>
      <i/>
      <sz val="10"/>
      <name val="Arial Narrow"/>
      <family val="2"/>
    </font>
    <font>
      <b/>
      <i/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9"/>
      <name val="Arial Narrow"/>
      <family val="2"/>
    </font>
    <font>
      <b/>
      <sz val="11"/>
      <color indexed="27"/>
      <name val="Arial Narrow"/>
      <family val="2"/>
    </font>
    <font>
      <b/>
      <sz val="14"/>
      <color indexed="13"/>
      <name val="Arial Narrow"/>
      <family val="2"/>
    </font>
    <font>
      <b/>
      <sz val="12"/>
      <color indexed="13"/>
      <name val="Arial Narrow"/>
      <family val="2"/>
    </font>
    <font>
      <b/>
      <sz val="12"/>
      <color indexed="30"/>
      <name val="Arial Narrow"/>
      <family val="2"/>
    </font>
    <font>
      <sz val="10"/>
      <color indexed="52"/>
      <name val="Arial Narrow"/>
      <family val="2"/>
    </font>
    <font>
      <sz val="8"/>
      <color indexed="52"/>
      <name val="Arial Narrow"/>
      <family val="2"/>
    </font>
    <font>
      <sz val="9"/>
      <color indexed="52"/>
      <name val="Arial Narrow"/>
      <family val="2"/>
    </font>
    <font>
      <b/>
      <u val="single"/>
      <sz val="10"/>
      <color indexed="52"/>
      <name val="Arial Narrow"/>
      <family val="2"/>
    </font>
    <font>
      <b/>
      <i/>
      <sz val="10"/>
      <color indexed="13"/>
      <name val="Arial Narrow"/>
      <family val="2"/>
    </font>
    <font>
      <b/>
      <i/>
      <sz val="12"/>
      <color indexed="12"/>
      <name val="Arial Narrow"/>
      <family val="2"/>
    </font>
    <font>
      <sz val="7"/>
      <color indexed="8"/>
      <name val="Arial Narrow"/>
      <family val="2"/>
    </font>
    <font>
      <sz val="9"/>
      <color indexed="51"/>
      <name val="Arial Narrow"/>
      <family val="2"/>
    </font>
    <font>
      <b/>
      <sz val="24"/>
      <color indexed="12"/>
      <name val="Arial Narrow"/>
      <family val="2"/>
    </font>
    <font>
      <b/>
      <i/>
      <u val="single"/>
      <sz val="11"/>
      <color indexed="10"/>
      <name val="Arial Narrow"/>
      <family val="2"/>
    </font>
    <font>
      <i/>
      <sz val="10"/>
      <color indexed="9"/>
      <name val="Arial Narrow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0"/>
      <name val="Arial Narrow"/>
      <family val="2"/>
    </font>
    <font>
      <b/>
      <sz val="11"/>
      <color rgb="FFCCFFFF"/>
      <name val="Arial Narrow"/>
      <family val="2"/>
    </font>
    <font>
      <b/>
      <sz val="14"/>
      <color rgb="FFFFFF00"/>
      <name val="Arial Narrow"/>
      <family val="2"/>
    </font>
    <font>
      <b/>
      <sz val="12"/>
      <color rgb="FFFFFF00"/>
      <name val="Arial Narrow"/>
      <family val="2"/>
    </font>
    <font>
      <b/>
      <sz val="12"/>
      <color rgb="FF0033CC"/>
      <name val="Arial Narrow"/>
      <family val="2"/>
    </font>
    <font>
      <sz val="10"/>
      <color theme="9" tint="0.39998000860214233"/>
      <name val="Arial Narrow"/>
      <family val="2"/>
    </font>
    <font>
      <sz val="8"/>
      <color theme="9" tint="0.39998000860214233"/>
      <name val="Arial Narrow"/>
      <family val="2"/>
    </font>
    <font>
      <sz val="9"/>
      <color theme="9" tint="0.39998000860214233"/>
      <name val="Arial Narrow"/>
      <family val="2"/>
    </font>
    <font>
      <b/>
      <u val="single"/>
      <sz val="10"/>
      <color theme="9" tint="0.39998000860214233"/>
      <name val="Arial Narrow"/>
      <family val="2"/>
    </font>
    <font>
      <b/>
      <i/>
      <sz val="10"/>
      <color rgb="FFFFFF00"/>
      <name val="Arial Narrow"/>
      <family val="2"/>
    </font>
    <font>
      <b/>
      <sz val="10"/>
      <color rgb="FF0000FF"/>
      <name val="Arial Narrow"/>
      <family val="2"/>
    </font>
    <font>
      <b/>
      <i/>
      <sz val="12"/>
      <color rgb="FF0000FF"/>
      <name val="Arial Narrow"/>
      <family val="2"/>
    </font>
    <font>
      <sz val="7"/>
      <color theme="1"/>
      <name val="Arial Narrow"/>
      <family val="2"/>
    </font>
    <font>
      <sz val="9"/>
      <color theme="9" tint="0.5999900102615356"/>
      <name val="Arial Narrow"/>
      <family val="2"/>
    </font>
    <font>
      <b/>
      <sz val="24"/>
      <color rgb="FF0000CC"/>
      <name val="Arial Narrow"/>
      <family val="2"/>
    </font>
    <font>
      <b/>
      <i/>
      <u val="single"/>
      <sz val="11"/>
      <color rgb="FFFF0000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i/>
      <sz val="10"/>
      <color theme="0"/>
      <name val="Arial Narrow"/>
      <family val="2"/>
    </font>
    <font>
      <b/>
      <sz val="12"/>
      <color rgb="FF0000FF"/>
      <name val="Arial Narrow"/>
      <family val="2"/>
    </font>
    <font>
      <b/>
      <sz val="8"/>
      <name val="Times New Roman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FFFF00"/>
        <bgColor indexed="64"/>
      </patternFill>
    </fill>
    <fill>
      <gradientFill type="path">
        <stop position="0">
          <color theme="9" tint="0.8000100255012512"/>
        </stop>
        <stop position="1">
          <color rgb="FFCC6600"/>
        </stop>
      </gradientFill>
    </fill>
    <fill>
      <gradientFill type="path">
        <stop position="0">
          <color theme="9" tint="0.8000100255012512"/>
        </stop>
        <stop position="1">
          <color rgb="FFCC6600"/>
        </stop>
      </gradientFill>
    </fill>
    <fill>
      <gradientFill type="path">
        <stop position="0">
          <color theme="9" tint="0.8000100255012512"/>
        </stop>
        <stop position="1">
          <color rgb="FFCC6600"/>
        </stop>
      </gradientFill>
    </fill>
    <fill>
      <gradientFill type="path">
        <stop position="0">
          <color theme="9" tint="0.8000100255012512"/>
        </stop>
        <stop position="1">
          <color rgb="FFCC6600"/>
        </stop>
      </gradientFill>
    </fill>
    <fill>
      <gradientFill type="path">
        <stop position="0">
          <color theme="9" tint="0.8000100255012512"/>
        </stop>
        <stop position="1">
          <color rgb="FFCC6600"/>
        </stop>
      </gradientFill>
    </fill>
    <fill>
      <gradientFill type="path">
        <stop position="0">
          <color theme="9" tint="0.8000100255012512"/>
        </stop>
        <stop position="1">
          <color rgb="FFCC6600"/>
        </stop>
      </gradientFill>
    </fill>
    <fill>
      <gradientFill type="path">
        <stop position="0">
          <color theme="9" tint="0.8000100255012512"/>
        </stop>
        <stop position="1">
          <color rgb="FFCC6600"/>
        </stop>
      </gradientFill>
    </fill>
    <fill>
      <gradientFill type="path">
        <stop position="0">
          <color theme="9" tint="0.8000100255012512"/>
        </stop>
        <stop position="1">
          <color rgb="FFCC6600"/>
        </stop>
      </gradient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FFFF00"/>
      </left>
      <right style="thin">
        <color rgb="FFFFFF00"/>
      </right>
      <top style="thin"/>
      <bottom style="thin"/>
    </border>
    <border>
      <left style="thin">
        <color rgb="FFFFFF00"/>
      </left>
      <right style="thin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medium"/>
      <bottom style="medium"/>
    </border>
    <border>
      <left>
        <color indexed="63"/>
      </left>
      <right style="thin">
        <color theme="0"/>
      </right>
      <top style="medium"/>
      <bottom style="medium"/>
    </border>
    <border>
      <left style="thin"/>
      <right style="thin">
        <color rgb="FFFFFF00"/>
      </right>
      <top style="thin"/>
      <bottom style="thin"/>
    </border>
    <border>
      <left style="medium"/>
      <right style="medium"/>
      <top style="medium"/>
      <bottom style="thin">
        <color theme="0"/>
      </bottom>
    </border>
    <border>
      <left style="medium"/>
      <right style="medium"/>
      <top style="thin">
        <color theme="0"/>
      </top>
      <bottom style="thin">
        <color theme="0"/>
      </bottom>
    </border>
    <border>
      <left style="medium"/>
      <right style="medium"/>
      <top style="thin">
        <color theme="0"/>
      </top>
      <bottom style="medium"/>
    </border>
    <border>
      <left style="thin">
        <color theme="0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>
        <color rgb="FFFF0000"/>
      </right>
      <top style="thin"/>
      <bottom>
        <color indexed="63"/>
      </bottom>
    </border>
    <border>
      <left style="thin"/>
      <right style="thin">
        <color rgb="FFFF0000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FF"/>
      </left>
      <right>
        <color indexed="63"/>
      </right>
      <top style="medium">
        <color rgb="FF0000FF"/>
      </top>
      <bottom style="medium">
        <color rgb="FF0000FF"/>
      </bottom>
    </border>
    <border>
      <left>
        <color indexed="63"/>
      </left>
      <right>
        <color indexed="63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6" borderId="1" applyNumberFormat="0" applyAlignment="0" applyProtection="0"/>
    <xf numFmtId="0" fontId="102" fillId="0" borderId="2" applyNumberFormat="0" applyFill="0" applyAlignment="0" applyProtection="0"/>
    <xf numFmtId="0" fontId="103" fillId="27" borderId="1" applyNumberFormat="0" applyAlignment="0" applyProtection="0"/>
    <xf numFmtId="0" fontId="104" fillId="28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108" fillId="31" borderId="0" applyNumberFormat="0" applyBorder="0" applyAlignment="0" applyProtection="0"/>
    <xf numFmtId="0" fontId="109" fillId="26" borderId="4" applyNumberFormat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5" applyNumberFormat="0" applyFill="0" applyAlignment="0" applyProtection="0"/>
    <xf numFmtId="0" fontId="113" fillId="0" borderId="6" applyNumberFormat="0" applyFill="0" applyAlignment="0" applyProtection="0"/>
    <xf numFmtId="0" fontId="114" fillId="0" borderId="7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8" applyNumberFormat="0" applyFill="0" applyAlignment="0" applyProtection="0"/>
    <xf numFmtId="0" fontId="116" fillId="32" borderId="9" applyNumberFormat="0" applyAlignment="0" applyProtection="0"/>
  </cellStyleXfs>
  <cellXfs count="409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Continuous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178" fontId="117" fillId="33" borderId="0" xfId="0" applyNumberFormat="1" applyFont="1" applyFill="1" applyAlignment="1" applyProtection="1">
      <alignment horizontal="center"/>
      <protection/>
    </xf>
    <xf numFmtId="0" fontId="14" fillId="36" borderId="0" xfId="0" applyFont="1" applyFill="1" applyAlignment="1" applyProtection="1">
      <alignment vertical="center"/>
      <protection/>
    </xf>
    <xf numFmtId="0" fontId="5" fillId="37" borderId="11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175" fontId="1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175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33" fillId="0" borderId="17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175" fontId="3" fillId="0" borderId="14" xfId="0" applyNumberFormat="1" applyFont="1" applyBorder="1" applyAlignment="1" applyProtection="1">
      <alignment horizontal="center" vertical="center"/>
      <protection/>
    </xf>
    <xf numFmtId="175" fontId="35" fillId="0" borderId="14" xfId="0" applyNumberFormat="1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centerContinuous" vertical="center"/>
      <protection/>
    </xf>
    <xf numFmtId="0" fontId="3" fillId="0" borderId="19" xfId="0" applyFont="1" applyBorder="1" applyAlignment="1" applyProtection="1">
      <alignment horizontal="centerContinuous"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1" fontId="16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1" fontId="16" fillId="0" borderId="21" xfId="0" applyNumberFormat="1" applyFont="1" applyFill="1" applyBorder="1" applyAlignment="1" applyProtection="1">
      <alignment horizontal="center" vertical="center"/>
      <protection/>
    </xf>
    <xf numFmtId="1" fontId="16" fillId="0" borderId="21" xfId="0" applyNumberFormat="1" applyFont="1" applyFill="1" applyBorder="1" applyAlignment="1" applyProtection="1">
      <alignment horizontal="centerContinuous" vertical="center"/>
      <protection/>
    </xf>
    <xf numFmtId="175" fontId="16" fillId="0" borderId="21" xfId="0" applyNumberFormat="1" applyFont="1" applyFill="1" applyBorder="1" applyAlignment="1" applyProtection="1">
      <alignment horizontal="centerContinuous"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175" fontId="9" fillId="0" borderId="17" xfId="0" applyNumberFormat="1" applyFont="1" applyFill="1" applyBorder="1" applyAlignment="1" applyProtection="1">
      <alignment vertic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14" fillId="0" borderId="21" xfId="0" applyNumberFormat="1" applyFont="1" applyFill="1" applyBorder="1" applyAlignment="1" applyProtection="1">
      <alignment horizontal="center" vertical="center"/>
      <protection/>
    </xf>
    <xf numFmtId="175" fontId="14" fillId="0" borderId="21" xfId="0" applyNumberFormat="1" applyFont="1" applyFill="1" applyBorder="1" applyAlignment="1" applyProtection="1">
      <alignment horizontal="center" vertical="center"/>
      <protection/>
    </xf>
    <xf numFmtId="1" fontId="14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Continuous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175" fontId="35" fillId="0" borderId="17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Continuous" vertical="center"/>
      <protection/>
    </xf>
    <xf numFmtId="0" fontId="4" fillId="34" borderId="23" xfId="0" applyFont="1" applyFill="1" applyBorder="1" applyAlignment="1" applyProtection="1">
      <alignment horizontal="centerContinuous" vertical="center"/>
      <protection/>
    </xf>
    <xf numFmtId="0" fontId="38" fillId="0" borderId="0" xfId="0" applyFont="1" applyAlignment="1" applyProtection="1">
      <alignment vertical="center"/>
      <protection/>
    </xf>
    <xf numFmtId="0" fontId="2" fillId="27" borderId="24" xfId="0" applyFont="1" applyFill="1" applyBorder="1" applyAlignment="1" applyProtection="1">
      <alignment horizontal="center" vertical="center"/>
      <protection/>
    </xf>
    <xf numFmtId="0" fontId="2" fillId="27" borderId="25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3" fillId="38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27" borderId="0" xfId="0" applyFont="1" applyFill="1" applyBorder="1" applyAlignment="1" applyProtection="1">
      <alignment vertical="center"/>
      <protection/>
    </xf>
    <xf numFmtId="0" fontId="25" fillId="27" borderId="0" xfId="0" applyFont="1" applyFill="1" applyBorder="1" applyAlignment="1" applyProtection="1">
      <alignment vertical="center"/>
      <protection/>
    </xf>
    <xf numFmtId="0" fontId="43" fillId="27" borderId="0" xfId="0" applyFont="1" applyFill="1" applyBorder="1" applyAlignment="1" applyProtection="1">
      <alignment horizontal="center" vertical="center"/>
      <protection/>
    </xf>
    <xf numFmtId="0" fontId="45" fillId="27" borderId="0" xfId="0" applyFont="1" applyFill="1" applyBorder="1" applyAlignment="1" applyProtection="1">
      <alignment horizontal="centerContinuous" vertical="center"/>
      <protection hidden="1"/>
    </xf>
    <xf numFmtId="0" fontId="3" fillId="27" borderId="0" xfId="0" applyFont="1" applyFill="1" applyBorder="1" applyAlignment="1" applyProtection="1">
      <alignment vertical="center"/>
      <protection hidden="1"/>
    </xf>
    <xf numFmtId="0" fontId="3" fillId="27" borderId="0" xfId="0" applyFont="1" applyFill="1" applyAlignment="1" applyProtection="1">
      <alignment vertical="center"/>
      <protection/>
    </xf>
    <xf numFmtId="0" fontId="41" fillId="27" borderId="0" xfId="0" applyFont="1" applyFill="1" applyBorder="1" applyAlignment="1" applyProtection="1">
      <alignment horizontal="center" vertical="center"/>
      <protection hidden="1"/>
    </xf>
    <xf numFmtId="0" fontId="41" fillId="27" borderId="0" xfId="0" applyFont="1" applyFill="1" applyAlignment="1" applyProtection="1">
      <alignment horizontal="center" vertical="center"/>
      <protection/>
    </xf>
    <xf numFmtId="0" fontId="3" fillId="27" borderId="0" xfId="0" applyFont="1" applyFill="1" applyAlignment="1" applyProtection="1">
      <alignment vertical="center"/>
      <protection hidden="1"/>
    </xf>
    <xf numFmtId="0" fontId="2" fillId="30" borderId="26" xfId="0" applyFont="1" applyFill="1" applyBorder="1" applyAlignment="1" applyProtection="1">
      <alignment horizontal="center" vertical="center"/>
      <protection hidden="1"/>
    </xf>
    <xf numFmtId="175" fontId="2" fillId="30" borderId="26" xfId="0" applyNumberFormat="1" applyFont="1" applyFill="1" applyBorder="1" applyAlignment="1" applyProtection="1">
      <alignment horizontal="center" vertical="center"/>
      <protection/>
    </xf>
    <xf numFmtId="0" fontId="2" fillId="30" borderId="27" xfId="0" applyFont="1" applyFill="1" applyBorder="1" applyAlignment="1" applyProtection="1">
      <alignment horizontal="center" vertical="center"/>
      <protection hidden="1"/>
    </xf>
    <xf numFmtId="175" fontId="2" fillId="30" borderId="27" xfId="0" applyNumberFormat="1" applyFont="1" applyFill="1" applyBorder="1" applyAlignment="1" applyProtection="1">
      <alignment horizontal="center" vertical="center"/>
      <protection/>
    </xf>
    <xf numFmtId="0" fontId="118" fillId="39" borderId="28" xfId="0" applyFont="1" applyFill="1" applyBorder="1" applyAlignment="1" applyProtection="1">
      <alignment horizontal="center" vertical="center"/>
      <protection/>
    </xf>
    <xf numFmtId="0" fontId="118" fillId="39" borderId="28" xfId="0" applyFont="1" applyFill="1" applyBorder="1" applyAlignment="1" applyProtection="1">
      <alignment horizontal="center" vertical="center" wrapText="1"/>
      <protection hidden="1"/>
    </xf>
    <xf numFmtId="0" fontId="118" fillId="39" borderId="29" xfId="0" applyFont="1" applyFill="1" applyBorder="1" applyAlignment="1" applyProtection="1">
      <alignment horizontal="center" vertical="center"/>
      <protection hidden="1"/>
    </xf>
    <xf numFmtId="175" fontId="16" fillId="0" borderId="12" xfId="0" applyNumberFormat="1" applyFont="1" applyFill="1" applyBorder="1" applyAlignment="1" applyProtection="1" quotePrefix="1">
      <alignment horizontal="center" vertical="center"/>
      <protection/>
    </xf>
    <xf numFmtId="0" fontId="32" fillId="0" borderId="14" xfId="0" applyFont="1" applyFill="1" applyBorder="1" applyAlignment="1" applyProtection="1">
      <alignment horizontal="center" vertical="center" wrapText="1"/>
      <protection/>
    </xf>
    <xf numFmtId="1" fontId="119" fillId="40" borderId="26" xfId="0" applyNumberFormat="1" applyFont="1" applyFill="1" applyBorder="1" applyAlignment="1" applyProtection="1">
      <alignment horizontal="center" vertical="center"/>
      <protection locked="0"/>
    </xf>
    <xf numFmtId="0" fontId="27" fillId="27" borderId="0" xfId="0" applyFont="1" applyFill="1" applyAlignment="1" applyProtection="1">
      <alignment vertical="center"/>
      <protection/>
    </xf>
    <xf numFmtId="0" fontId="27" fillId="27" borderId="0" xfId="0" applyFont="1" applyFill="1" applyBorder="1" applyAlignment="1" applyProtection="1">
      <alignment vertical="center"/>
      <protection/>
    </xf>
    <xf numFmtId="0" fontId="120" fillId="40" borderId="26" xfId="0" applyFont="1" applyFill="1" applyBorder="1" applyAlignment="1" applyProtection="1">
      <alignment horizontal="center" vertical="center"/>
      <protection locked="0"/>
    </xf>
    <xf numFmtId="0" fontId="120" fillId="40" borderId="27" xfId="0" applyFont="1" applyFill="1" applyBorder="1" applyAlignment="1" applyProtection="1">
      <alignment horizontal="center" vertical="center"/>
      <protection locked="0"/>
    </xf>
    <xf numFmtId="0" fontId="43" fillId="27" borderId="0" xfId="0" applyFont="1" applyFill="1" applyAlignment="1" applyProtection="1">
      <alignment vertical="center"/>
      <protection/>
    </xf>
    <xf numFmtId="0" fontId="43" fillId="27" borderId="0" xfId="0" applyFont="1" applyFill="1" applyBorder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vertical="center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vertical="center"/>
      <protection/>
    </xf>
    <xf numFmtId="1" fontId="16" fillId="0" borderId="0" xfId="0" applyNumberFormat="1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vertical="center"/>
      <protection/>
    </xf>
    <xf numFmtId="1" fontId="3" fillId="0" borderId="22" xfId="0" applyNumberFormat="1" applyFont="1" applyBorder="1" applyAlignment="1" applyProtection="1">
      <alignment vertical="center"/>
      <protection/>
    </xf>
    <xf numFmtId="1" fontId="14" fillId="0" borderId="0" xfId="0" applyNumberFormat="1" applyFont="1" applyBorder="1" applyAlignment="1" applyProtection="1">
      <alignment vertical="center"/>
      <protection/>
    </xf>
    <xf numFmtId="175" fontId="14" fillId="0" borderId="0" xfId="0" applyNumberFormat="1" applyFont="1" applyBorder="1" applyAlignment="1" applyProtection="1">
      <alignment vertical="center"/>
      <protection/>
    </xf>
    <xf numFmtId="1" fontId="14" fillId="0" borderId="14" xfId="0" applyNumberFormat="1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1" fontId="16" fillId="0" borderId="15" xfId="0" applyNumberFormat="1" applyFont="1" applyBorder="1" applyAlignment="1" applyProtection="1">
      <alignment vertical="center"/>
      <protection/>
    </xf>
    <xf numFmtId="0" fontId="16" fillId="0" borderId="12" xfId="0" applyNumberFormat="1" applyFont="1" applyFill="1" applyBorder="1" applyAlignment="1" applyProtection="1" quotePrefix="1">
      <alignment horizontal="center" vertical="center"/>
      <protection/>
    </xf>
    <xf numFmtId="0" fontId="16" fillId="0" borderId="23" xfId="0" applyNumberFormat="1" applyFont="1" applyFill="1" applyBorder="1" applyAlignment="1" applyProtection="1" quotePrefix="1">
      <alignment horizontal="center" vertical="center"/>
      <protection/>
    </xf>
    <xf numFmtId="175" fontId="16" fillId="0" borderId="23" xfId="0" applyNumberFormat="1" applyFont="1" applyFill="1" applyBorder="1" applyAlignment="1" applyProtection="1" quotePrefix="1">
      <alignment horizontal="center" vertical="center"/>
      <protection/>
    </xf>
    <xf numFmtId="0" fontId="16" fillId="0" borderId="14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175" fontId="3" fillId="0" borderId="12" xfId="0" applyNumberFormat="1" applyFont="1" applyBorder="1" applyAlignment="1" applyProtection="1">
      <alignment horizontal="center" vertical="center"/>
      <protection/>
    </xf>
    <xf numFmtId="175" fontId="3" fillId="0" borderId="0" xfId="0" applyNumberFormat="1" applyFont="1" applyBorder="1" applyAlignment="1" applyProtection="1">
      <alignment vertical="center"/>
      <protection/>
    </xf>
    <xf numFmtId="0" fontId="121" fillId="30" borderId="27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20" fillId="7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vertical="center"/>
      <protection/>
    </xf>
    <xf numFmtId="0" fontId="20" fillId="7" borderId="32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 applyProtection="1">
      <alignment horizontal="center" vertical="center"/>
      <protection/>
    </xf>
    <xf numFmtId="0" fontId="16" fillId="36" borderId="0" xfId="0" applyFont="1" applyFill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4" xfId="0" applyFont="1" applyFill="1" applyBorder="1" applyAlignment="1" applyProtection="1">
      <alignment horizontal="center" vertical="center"/>
      <protection/>
    </xf>
    <xf numFmtId="0" fontId="9" fillId="34" borderId="34" xfId="0" applyFont="1" applyFill="1" applyBorder="1" applyAlignment="1" applyProtection="1">
      <alignment horizontal="center" vertical="center" wrapText="1"/>
      <protection/>
    </xf>
    <xf numFmtId="0" fontId="9" fillId="34" borderId="35" xfId="0" applyFont="1" applyFill="1" applyBorder="1" applyAlignment="1" applyProtection="1">
      <alignment horizontal="center" vertical="center" wrapText="1"/>
      <protection/>
    </xf>
    <xf numFmtId="0" fontId="122" fillId="36" borderId="0" xfId="0" applyFont="1" applyFill="1" applyAlignment="1" applyProtection="1">
      <alignment vertical="center"/>
      <protection/>
    </xf>
    <xf numFmtId="0" fontId="9" fillId="34" borderId="15" xfId="0" applyFont="1" applyFill="1" applyBorder="1" applyAlignment="1" applyProtection="1">
      <alignment horizontal="center" vertical="center"/>
      <protection/>
    </xf>
    <xf numFmtId="0" fontId="14" fillId="36" borderId="0" xfId="0" applyFont="1" applyFill="1" applyAlignment="1" applyProtection="1">
      <alignment horizontal="center" vertical="center"/>
      <protection/>
    </xf>
    <xf numFmtId="0" fontId="16" fillId="41" borderId="12" xfId="0" applyFont="1" applyFill="1" applyBorder="1" applyAlignment="1" applyProtection="1">
      <alignment vertical="center"/>
      <protection/>
    </xf>
    <xf numFmtId="1" fontId="16" fillId="41" borderId="12" xfId="0" applyNumberFormat="1" applyFont="1" applyFill="1" applyBorder="1" applyAlignment="1" applyProtection="1">
      <alignment horizontal="center" vertical="center"/>
      <protection/>
    </xf>
    <xf numFmtId="175" fontId="16" fillId="41" borderId="12" xfId="0" applyNumberFormat="1" applyFont="1" applyFill="1" applyBorder="1" applyAlignment="1" applyProtection="1">
      <alignment horizontal="center" vertical="center"/>
      <protection/>
    </xf>
    <xf numFmtId="0" fontId="123" fillId="36" borderId="0" xfId="0" applyFont="1" applyFill="1" applyAlignment="1" applyProtection="1">
      <alignment horizontal="center" vertical="center"/>
      <protection/>
    </xf>
    <xf numFmtId="0" fontId="16" fillId="36" borderId="0" xfId="0" applyFont="1" applyFill="1" applyAlignment="1" applyProtection="1">
      <alignment vertical="center"/>
      <protection/>
    </xf>
    <xf numFmtId="175" fontId="16" fillId="36" borderId="0" xfId="0" applyNumberFormat="1" applyFont="1" applyFill="1" applyAlignment="1" applyProtection="1">
      <alignment vertical="center"/>
      <protection/>
    </xf>
    <xf numFmtId="0" fontId="16" fillId="42" borderId="12" xfId="0" applyFont="1" applyFill="1" applyBorder="1" applyAlignment="1" applyProtection="1">
      <alignment vertical="center"/>
      <protection/>
    </xf>
    <xf numFmtId="0" fontId="16" fillId="42" borderId="12" xfId="0" applyFont="1" applyFill="1" applyBorder="1" applyAlignment="1" applyProtection="1">
      <alignment horizontal="center" vertical="center"/>
      <protection/>
    </xf>
    <xf numFmtId="175" fontId="16" fillId="42" borderId="12" xfId="0" applyNumberFormat="1" applyFont="1" applyFill="1" applyBorder="1" applyAlignment="1" applyProtection="1">
      <alignment horizontal="center" vertical="center"/>
      <protection/>
    </xf>
    <xf numFmtId="175" fontId="3" fillId="33" borderId="0" xfId="0" applyNumberFormat="1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24" fillId="36" borderId="0" xfId="0" applyFont="1" applyFill="1" applyAlignment="1" applyProtection="1">
      <alignment vertical="center"/>
      <protection/>
    </xf>
    <xf numFmtId="0" fontId="16" fillId="41" borderId="12" xfId="0" applyFont="1" applyFill="1" applyBorder="1" applyAlignment="1" applyProtection="1">
      <alignment horizontal="center" vertical="center"/>
      <protection/>
    </xf>
    <xf numFmtId="0" fontId="16" fillId="42" borderId="11" xfId="0" applyFont="1" applyFill="1" applyBorder="1" applyAlignment="1" applyProtection="1">
      <alignment horizontal="center" vertical="center"/>
      <protection/>
    </xf>
    <xf numFmtId="175" fontId="16" fillId="33" borderId="0" xfId="0" applyNumberFormat="1" applyFont="1" applyFill="1" applyAlignment="1" applyProtection="1">
      <alignment horizontal="center" vertical="center"/>
      <protection/>
    </xf>
    <xf numFmtId="175" fontId="3" fillId="36" borderId="0" xfId="0" applyNumberFormat="1" applyFont="1" applyFill="1" applyAlignment="1" applyProtection="1">
      <alignment vertical="center"/>
      <protection/>
    </xf>
    <xf numFmtId="0" fontId="3" fillId="36" borderId="19" xfId="0" applyFont="1" applyFill="1" applyBorder="1" applyAlignment="1" applyProtection="1">
      <alignment vertical="center"/>
      <protection/>
    </xf>
    <xf numFmtId="0" fontId="45" fillId="27" borderId="0" xfId="0" applyFont="1" applyFill="1" applyBorder="1" applyAlignment="1" applyProtection="1">
      <alignment horizontal="centerContinuous" vertical="center"/>
      <protection/>
    </xf>
    <xf numFmtId="0" fontId="118" fillId="39" borderId="28" xfId="0" applyFont="1" applyFill="1" applyBorder="1" applyAlignment="1" applyProtection="1">
      <alignment horizontal="center" vertical="center" wrapText="1"/>
      <protection/>
    </xf>
    <xf numFmtId="0" fontId="118" fillId="39" borderId="29" xfId="0" applyFont="1" applyFill="1" applyBorder="1" applyAlignment="1" applyProtection="1">
      <alignment horizontal="center" vertical="center"/>
      <protection/>
    </xf>
    <xf numFmtId="0" fontId="41" fillId="27" borderId="0" xfId="0" applyFont="1" applyFill="1" applyBorder="1" applyAlignment="1" applyProtection="1">
      <alignment horizontal="center" vertical="center"/>
      <protection/>
    </xf>
    <xf numFmtId="0" fontId="2" fillId="30" borderId="26" xfId="0" applyFont="1" applyFill="1" applyBorder="1" applyAlignment="1" applyProtection="1">
      <alignment horizontal="center" vertical="center"/>
      <protection/>
    </xf>
    <xf numFmtId="0" fontId="2" fillId="30" borderId="27" xfId="0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 applyProtection="1">
      <alignment horizontal="left" vertical="center"/>
      <protection/>
    </xf>
    <xf numFmtId="175" fontId="16" fillId="42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/>
      <protection/>
    </xf>
    <xf numFmtId="0" fontId="118" fillId="39" borderId="38" xfId="0" applyFont="1" applyFill="1" applyBorder="1" applyAlignment="1" applyProtection="1">
      <alignment horizontal="center" vertical="center"/>
      <protection/>
    </xf>
    <xf numFmtId="0" fontId="2" fillId="27" borderId="0" xfId="0" applyFont="1" applyFill="1" applyBorder="1" applyAlignment="1" applyProtection="1">
      <alignment vertical="center"/>
      <protection/>
    </xf>
    <xf numFmtId="0" fontId="124" fillId="36" borderId="0" xfId="0" applyFont="1" applyFill="1" applyAlignment="1" applyProtection="1">
      <alignment horizontal="center" vertical="center"/>
      <protection/>
    </xf>
    <xf numFmtId="0" fontId="122" fillId="33" borderId="0" xfId="0" applyFont="1" applyFill="1" applyAlignment="1" applyProtection="1">
      <alignment horizontal="center" vertical="center"/>
      <protection/>
    </xf>
    <xf numFmtId="0" fontId="125" fillId="36" borderId="0" xfId="0" applyFont="1" applyFill="1" applyAlignment="1" applyProtection="1">
      <alignment horizontal="center" vertical="center"/>
      <protection/>
    </xf>
    <xf numFmtId="0" fontId="126" fillId="33" borderId="0" xfId="0" applyFont="1" applyFill="1" applyBorder="1" applyAlignment="1" applyProtection="1">
      <alignment horizontal="center"/>
      <protection/>
    </xf>
    <xf numFmtId="0" fontId="126" fillId="33" borderId="0" xfId="0" applyFont="1" applyFill="1" applyBorder="1" applyAlignment="1" applyProtection="1">
      <alignment horizontal="center" vertical="top"/>
      <protection/>
    </xf>
    <xf numFmtId="0" fontId="52" fillId="34" borderId="39" xfId="0" applyFont="1" applyFill="1" applyBorder="1" applyAlignment="1" applyProtection="1">
      <alignment horizontal="center" vertical="center"/>
      <protection/>
    </xf>
    <xf numFmtId="0" fontId="52" fillId="34" borderId="40" xfId="0" applyFont="1" applyFill="1" applyBorder="1" applyAlignment="1" applyProtection="1">
      <alignment horizontal="center" vertical="center"/>
      <protection/>
    </xf>
    <xf numFmtId="0" fontId="52" fillId="34" borderId="41" xfId="0" applyFont="1" applyFill="1" applyBorder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0" fontId="54" fillId="34" borderId="39" xfId="0" applyFont="1" applyFill="1" applyBorder="1" applyAlignment="1" applyProtection="1">
      <alignment horizontal="center" vertical="center"/>
      <protection/>
    </xf>
    <xf numFmtId="0" fontId="54" fillId="34" borderId="40" xfId="0" applyFont="1" applyFill="1" applyBorder="1" applyAlignment="1" applyProtection="1">
      <alignment horizontal="center" vertical="center"/>
      <protection/>
    </xf>
    <xf numFmtId="0" fontId="54" fillId="34" borderId="41" xfId="0" applyFont="1" applyFill="1" applyBorder="1" applyAlignment="1" applyProtection="1">
      <alignment horizontal="center" vertical="center"/>
      <protection/>
    </xf>
    <xf numFmtId="0" fontId="36" fillId="34" borderId="42" xfId="0" applyFont="1" applyFill="1" applyBorder="1" applyAlignment="1" applyProtection="1">
      <alignment horizontal="center" vertical="center" wrapText="1"/>
      <protection/>
    </xf>
    <xf numFmtId="0" fontId="5" fillId="37" borderId="43" xfId="0" applyFont="1" applyFill="1" applyBorder="1" applyAlignment="1" applyProtection="1">
      <alignment horizontal="center" vertical="center"/>
      <protection locked="0"/>
    </xf>
    <xf numFmtId="0" fontId="5" fillId="37" borderId="23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8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5" fontId="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175" fontId="3" fillId="0" borderId="12" xfId="0" applyNumberFormat="1" applyFont="1" applyFill="1" applyBorder="1" applyAlignment="1" applyProtection="1">
      <alignment horizontal="center" vertical="center"/>
      <protection/>
    </xf>
    <xf numFmtId="0" fontId="24" fillId="27" borderId="43" xfId="0" applyFont="1" applyFill="1" applyBorder="1" applyAlignment="1" applyProtection="1">
      <alignment vertical="center" wrapText="1"/>
      <protection/>
    </xf>
    <xf numFmtId="0" fontId="23" fillId="27" borderId="13" xfId="0" applyFont="1" applyFill="1" applyBorder="1" applyAlignment="1" applyProtection="1">
      <alignment horizontal="center" vertical="center" wrapText="1"/>
      <protection/>
    </xf>
    <xf numFmtId="0" fontId="3" fillId="30" borderId="18" xfId="0" applyFont="1" applyFill="1" applyBorder="1" applyAlignment="1" applyProtection="1">
      <alignment vertical="center"/>
      <protection/>
    </xf>
    <xf numFmtId="0" fontId="3" fillId="30" borderId="14" xfId="0" applyFont="1" applyFill="1" applyBorder="1" applyAlignment="1" applyProtection="1">
      <alignment vertical="center"/>
      <protection/>
    </xf>
    <xf numFmtId="0" fontId="3" fillId="30" borderId="15" xfId="0" applyFont="1" applyFill="1" applyBorder="1" applyAlignment="1" applyProtection="1">
      <alignment vertical="center"/>
      <protection/>
    </xf>
    <xf numFmtId="0" fontId="2" fillId="30" borderId="13" xfId="0" applyFont="1" applyFill="1" applyBorder="1" applyAlignment="1" applyProtection="1">
      <alignment horizontal="center" vertical="center"/>
      <protection/>
    </xf>
    <xf numFmtId="0" fontId="2" fillId="30" borderId="17" xfId="0" applyFont="1" applyFill="1" applyBorder="1" applyAlignment="1" applyProtection="1">
      <alignment horizontal="center" vertical="center"/>
      <protection/>
    </xf>
    <xf numFmtId="0" fontId="2" fillId="30" borderId="43" xfId="0" applyFont="1" applyFill="1" applyBorder="1" applyAlignment="1" applyProtection="1">
      <alignment horizontal="center" vertical="center"/>
      <protection/>
    </xf>
    <xf numFmtId="0" fontId="3" fillId="30" borderId="21" xfId="0" applyFont="1" applyFill="1" applyBorder="1" applyAlignment="1" applyProtection="1" quotePrefix="1">
      <alignment vertical="center"/>
      <protection/>
    </xf>
    <xf numFmtId="0" fontId="3" fillId="30" borderId="0" xfId="0" applyFont="1" applyFill="1" applyBorder="1" applyAlignment="1" applyProtection="1" quotePrefix="1">
      <alignment vertical="center"/>
      <protection/>
    </xf>
    <xf numFmtId="0" fontId="3" fillId="30" borderId="19" xfId="0" applyFont="1" applyFill="1" applyBorder="1" applyAlignment="1" applyProtection="1" quotePrefix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20" fillId="0" borderId="0" xfId="51" applyFont="1" applyFill="1" applyBorder="1" applyAlignment="1">
      <alignment horizontal="center" vertical="center"/>
      <protection/>
    </xf>
    <xf numFmtId="0" fontId="3" fillId="0" borderId="0" xfId="51" applyFont="1" applyAlignment="1">
      <alignment vertical="center"/>
      <protection/>
    </xf>
    <xf numFmtId="0" fontId="56" fillId="0" borderId="0" xfId="51" applyFont="1" applyAlignment="1">
      <alignment vertical="center"/>
      <protection/>
    </xf>
    <xf numFmtId="0" fontId="127" fillId="0" borderId="0" xfId="51" applyFont="1" applyFill="1" applyBorder="1" applyAlignment="1">
      <alignment horizontal="center" vertical="center"/>
      <protection/>
    </xf>
    <xf numFmtId="0" fontId="2" fillId="43" borderId="44" xfId="51" applyFont="1" applyFill="1" applyBorder="1" applyAlignment="1">
      <alignment horizontal="center" vertical="center" wrapText="1"/>
      <protection/>
    </xf>
    <xf numFmtId="0" fontId="25" fillId="7" borderId="44" xfId="51" applyFont="1" applyFill="1" applyBorder="1" applyAlignment="1">
      <alignment horizontal="center" vertical="center"/>
      <protection/>
    </xf>
    <xf numFmtId="0" fontId="2" fillId="7" borderId="44" xfId="51" applyFont="1" applyFill="1" applyBorder="1" applyAlignment="1">
      <alignment horizontal="center" vertical="center"/>
      <protection/>
    </xf>
    <xf numFmtId="0" fontId="2" fillId="7" borderId="44" xfId="51" applyFont="1" applyFill="1" applyBorder="1" applyAlignment="1">
      <alignment horizontal="center" vertical="center" wrapText="1"/>
      <protection/>
    </xf>
    <xf numFmtId="0" fontId="49" fillId="0" borderId="26" xfId="51" applyFont="1" applyFill="1" applyBorder="1" applyAlignment="1">
      <alignment vertical="center"/>
      <protection/>
    </xf>
    <xf numFmtId="0" fontId="127" fillId="0" borderId="26" xfId="51" applyFont="1" applyFill="1" applyBorder="1" applyAlignment="1">
      <alignment horizontal="center" vertical="center"/>
      <protection/>
    </xf>
    <xf numFmtId="0" fontId="2" fillId="43" borderId="45" xfId="51" applyFont="1" applyFill="1" applyBorder="1" applyAlignment="1">
      <alignment horizontal="center" vertical="center"/>
      <protection/>
    </xf>
    <xf numFmtId="0" fontId="49" fillId="44" borderId="45" xfId="51" applyFont="1" applyFill="1" applyBorder="1" applyAlignment="1">
      <alignment vertical="center"/>
      <protection/>
    </xf>
    <xf numFmtId="0" fontId="127" fillId="44" borderId="45" xfId="51" applyFont="1" applyFill="1" applyBorder="1" applyAlignment="1">
      <alignment horizontal="center" vertical="center"/>
      <protection/>
    </xf>
    <xf numFmtId="0" fontId="49" fillId="0" borderId="45" xfId="51" applyFont="1" applyFill="1" applyBorder="1" applyAlignment="1">
      <alignment vertical="center"/>
      <protection/>
    </xf>
    <xf numFmtId="0" fontId="127" fillId="0" borderId="45" xfId="51" applyFont="1" applyFill="1" applyBorder="1" applyAlignment="1">
      <alignment horizontal="center" vertical="center"/>
      <protection/>
    </xf>
    <xf numFmtId="0" fontId="49" fillId="0" borderId="27" xfId="51" applyFont="1" applyFill="1" applyBorder="1" applyAlignment="1">
      <alignment vertical="center"/>
      <protection/>
    </xf>
    <xf numFmtId="0" fontId="127" fillId="0" borderId="27" xfId="51" applyFont="1" applyFill="1" applyBorder="1" applyAlignment="1">
      <alignment horizontal="center" vertical="center"/>
      <protection/>
    </xf>
    <xf numFmtId="0" fontId="128" fillId="0" borderId="0" xfId="51" applyFont="1" applyAlignment="1">
      <alignment vertical="center"/>
      <protection/>
    </xf>
    <xf numFmtId="0" fontId="2" fillId="0" borderId="0" xfId="0" applyFont="1" applyAlignment="1" applyProtection="1">
      <alignment/>
      <protection/>
    </xf>
    <xf numFmtId="0" fontId="129" fillId="0" borderId="17" xfId="0" applyFont="1" applyFill="1" applyBorder="1" applyAlignment="1" applyProtection="1">
      <alignment horizontal="left" vertical="center"/>
      <protection/>
    </xf>
    <xf numFmtId="0" fontId="129" fillId="0" borderId="43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/>
      <protection/>
    </xf>
    <xf numFmtId="0" fontId="4" fillId="34" borderId="46" xfId="0" applyFont="1" applyFill="1" applyBorder="1" applyAlignment="1" applyProtection="1">
      <alignment horizontal="center" vertical="center"/>
      <protection/>
    </xf>
    <xf numFmtId="0" fontId="4" fillId="34" borderId="47" xfId="0" applyFont="1" applyFill="1" applyBorder="1" applyAlignment="1" applyProtection="1">
      <alignment horizontal="center" vertical="center"/>
      <protection/>
    </xf>
    <xf numFmtId="0" fontId="4" fillId="34" borderId="48" xfId="0" applyFont="1" applyFill="1" applyBorder="1" applyAlignment="1" applyProtection="1">
      <alignment horizontal="center" vertical="center"/>
      <protection/>
    </xf>
    <xf numFmtId="0" fontId="21" fillId="34" borderId="11" xfId="0" applyFont="1" applyFill="1" applyBorder="1" applyAlignment="1" applyProtection="1">
      <alignment horizontal="center" vertical="center"/>
      <protection/>
    </xf>
    <xf numFmtId="0" fontId="6" fillId="37" borderId="12" xfId="0" applyFont="1" applyFill="1" applyBorder="1" applyAlignment="1" applyProtection="1">
      <alignment horizontal="center" vertical="center"/>
      <protection locked="0"/>
    </xf>
    <xf numFmtId="0" fontId="6" fillId="37" borderId="12" xfId="0" applyFont="1" applyFill="1" applyBorder="1" applyAlignment="1" applyProtection="1">
      <alignment horizontal="centerContinuous" vertical="center"/>
      <protection locked="0"/>
    </xf>
    <xf numFmtId="0" fontId="13" fillId="37" borderId="12" xfId="0" applyFont="1" applyFill="1" applyBorder="1" applyAlignment="1" applyProtection="1">
      <alignment horizontal="center" vertical="center"/>
      <protection locked="0"/>
    </xf>
    <xf numFmtId="0" fontId="4" fillId="34" borderId="49" xfId="0" applyFont="1" applyFill="1" applyBorder="1" applyAlignment="1" applyProtection="1">
      <alignment horizontal="center" vertical="center"/>
      <protection/>
    </xf>
    <xf numFmtId="177" fontId="5" fillId="37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26" xfId="51" applyFont="1" applyFill="1" applyBorder="1" applyAlignment="1">
      <alignment horizontal="center" vertical="center"/>
      <protection/>
    </xf>
    <xf numFmtId="0" fontId="2" fillId="0" borderId="45" xfId="51" applyFont="1" applyFill="1" applyBorder="1" applyAlignment="1">
      <alignment horizontal="center" vertical="center"/>
      <protection/>
    </xf>
    <xf numFmtId="0" fontId="2" fillId="0" borderId="27" xfId="51" applyFont="1" applyFill="1" applyBorder="1" applyAlignment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130" fillId="36" borderId="0" xfId="0" applyFont="1" applyFill="1" applyAlignment="1" applyProtection="1">
      <alignment vertical="center"/>
      <protection hidden="1" locked="0"/>
    </xf>
    <xf numFmtId="0" fontId="19" fillId="36" borderId="0" xfId="0" applyFont="1" applyFill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centerContinuous" vertical="center"/>
      <protection/>
    </xf>
    <xf numFmtId="1" fontId="16" fillId="6" borderId="12" xfId="0" applyNumberFormat="1" applyFont="1" applyFill="1" applyBorder="1" applyAlignment="1" applyProtection="1">
      <alignment horizontal="center" vertical="center"/>
      <protection/>
    </xf>
    <xf numFmtId="175" fontId="16" fillId="6" borderId="12" xfId="0" applyNumberFormat="1" applyFont="1" applyFill="1" applyBorder="1" applyAlignment="1" applyProtection="1">
      <alignment horizontal="center" vertical="center"/>
      <protection/>
    </xf>
    <xf numFmtId="1" fontId="2" fillId="45" borderId="12" xfId="0" applyNumberFormat="1" applyFont="1" applyFill="1" applyBorder="1" applyAlignment="1" applyProtection="1">
      <alignment horizontal="center" vertical="center"/>
      <protection/>
    </xf>
    <xf numFmtId="0" fontId="14" fillId="45" borderId="12" xfId="0" applyFont="1" applyFill="1" applyBorder="1" applyAlignment="1" applyProtection="1">
      <alignment horizontal="center" vertical="center"/>
      <protection/>
    </xf>
    <xf numFmtId="0" fontId="34" fillId="6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2" fillId="2" borderId="12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6" fillId="45" borderId="44" xfId="0" applyFont="1" applyFill="1" applyBorder="1" applyAlignment="1" applyProtection="1">
      <alignment horizontal="center" vertical="center"/>
      <protection/>
    </xf>
    <xf numFmtId="0" fontId="49" fillId="27" borderId="17" xfId="0" applyFont="1" applyFill="1" applyBorder="1" applyAlignment="1" applyProtection="1">
      <alignment horizontal="center" vertical="center" wrapText="1"/>
      <protection/>
    </xf>
    <xf numFmtId="0" fontId="49" fillId="27" borderId="0" xfId="0" applyFont="1" applyFill="1" applyBorder="1" applyAlignment="1" applyProtection="1">
      <alignment horizontal="center" vertical="center" wrapText="1"/>
      <protection/>
    </xf>
    <xf numFmtId="0" fontId="49" fillId="27" borderId="14" xfId="0" applyFont="1" applyFill="1" applyBorder="1" applyAlignment="1" applyProtection="1">
      <alignment horizontal="center" vertical="center" wrapText="1"/>
      <protection/>
    </xf>
    <xf numFmtId="0" fontId="49" fillId="27" borderId="23" xfId="0" applyFont="1" applyFill="1" applyBorder="1" applyAlignment="1" applyProtection="1">
      <alignment horizontal="center" vertical="center" wrapText="1"/>
      <protection/>
    </xf>
    <xf numFmtId="0" fontId="49" fillId="27" borderId="22" xfId="0" applyFont="1" applyFill="1" applyBorder="1" applyAlignment="1" applyProtection="1">
      <alignment horizontal="center" vertical="center" wrapText="1"/>
      <protection/>
    </xf>
    <xf numFmtId="0" fontId="49" fillId="27" borderId="20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50" xfId="0" applyFont="1" applyFill="1" applyBorder="1" applyAlignment="1" applyProtection="1">
      <alignment horizontal="center" vertical="center"/>
      <protection/>
    </xf>
    <xf numFmtId="0" fontId="15" fillId="0" borderId="51" xfId="0" applyFont="1" applyFill="1" applyBorder="1" applyAlignment="1" applyProtection="1">
      <alignment horizontal="center" vertical="center"/>
      <protection/>
    </xf>
    <xf numFmtId="0" fontId="2" fillId="27" borderId="52" xfId="0" applyFont="1" applyFill="1" applyBorder="1" applyAlignment="1" applyProtection="1">
      <alignment horizontal="center" vertical="center"/>
      <protection/>
    </xf>
    <xf numFmtId="0" fontId="2" fillId="27" borderId="53" xfId="0" applyFont="1" applyFill="1" applyBorder="1" applyAlignment="1" applyProtection="1">
      <alignment horizontal="center" vertical="center"/>
      <protection/>
    </xf>
    <xf numFmtId="0" fontId="25" fillId="37" borderId="0" xfId="0" applyFont="1" applyFill="1" applyAlignment="1" applyProtection="1">
      <alignment horizontal="center" vertical="center" wrapText="1"/>
      <protection/>
    </xf>
    <xf numFmtId="0" fontId="131" fillId="27" borderId="0" xfId="0" applyFont="1" applyFill="1" applyBorder="1" applyAlignment="1" applyProtection="1">
      <alignment horizontal="center" vertical="center"/>
      <protection/>
    </xf>
    <xf numFmtId="0" fontId="26" fillId="46" borderId="54" xfId="44" applyFont="1" applyFill="1" applyBorder="1" applyAlignment="1" applyProtection="1">
      <alignment horizontal="center" vertical="center"/>
      <protection locked="0"/>
    </xf>
    <xf numFmtId="0" fontId="26" fillId="47" borderId="55" xfId="44" applyFont="1" applyFill="1" applyBorder="1" applyAlignment="1" applyProtection="1">
      <alignment horizontal="center" vertical="center"/>
      <protection locked="0"/>
    </xf>
    <xf numFmtId="0" fontId="26" fillId="48" borderId="56" xfId="44" applyFont="1" applyFill="1" applyBorder="1" applyAlignment="1" applyProtection="1">
      <alignment horizontal="center" vertical="center"/>
      <protection locked="0"/>
    </xf>
    <xf numFmtId="0" fontId="26" fillId="49" borderId="57" xfId="44" applyFont="1" applyFill="1" applyBorder="1" applyAlignment="1" applyProtection="1">
      <alignment horizontal="center" vertical="center"/>
      <protection locked="0"/>
    </xf>
    <xf numFmtId="0" fontId="17" fillId="27" borderId="13" xfId="0" applyFont="1" applyFill="1" applyBorder="1" applyAlignment="1" applyProtection="1">
      <alignment horizontal="center" vertical="center"/>
      <protection/>
    </xf>
    <xf numFmtId="0" fontId="17" fillId="27" borderId="21" xfId="0" applyFont="1" applyFill="1" applyBorder="1" applyAlignment="1" applyProtection="1">
      <alignment horizontal="center" vertical="center"/>
      <protection/>
    </xf>
    <xf numFmtId="0" fontId="17" fillId="27" borderId="18" xfId="0" applyFont="1" applyFill="1" applyBorder="1" applyAlignment="1" applyProtection="1">
      <alignment horizontal="center" vertical="center"/>
      <protection/>
    </xf>
    <xf numFmtId="0" fontId="17" fillId="27" borderId="43" xfId="0" applyFont="1" applyFill="1" applyBorder="1" applyAlignment="1" applyProtection="1">
      <alignment horizontal="center" vertical="center"/>
      <protection/>
    </xf>
    <xf numFmtId="0" fontId="17" fillId="27" borderId="19" xfId="0" applyFont="1" applyFill="1" applyBorder="1" applyAlignment="1" applyProtection="1">
      <alignment horizontal="center" vertical="center"/>
      <protection/>
    </xf>
    <xf numFmtId="0" fontId="17" fillId="27" borderId="15" xfId="0" applyFont="1" applyFill="1" applyBorder="1" applyAlignment="1" applyProtection="1">
      <alignment horizontal="center" vertical="center"/>
      <protection/>
    </xf>
    <xf numFmtId="0" fontId="41" fillId="37" borderId="24" xfId="0" applyFont="1" applyFill="1" applyBorder="1" applyAlignment="1" applyProtection="1">
      <alignment horizontal="center" vertical="center"/>
      <protection locked="0"/>
    </xf>
    <xf numFmtId="0" fontId="41" fillId="37" borderId="58" xfId="0" applyFont="1" applyFill="1" applyBorder="1" applyAlignment="1" applyProtection="1">
      <alignment horizontal="center" vertical="center"/>
      <protection locked="0"/>
    </xf>
    <xf numFmtId="0" fontId="41" fillId="37" borderId="59" xfId="0" applyFont="1" applyFill="1" applyBorder="1" applyAlignment="1" applyProtection="1">
      <alignment horizontal="center" vertical="center"/>
      <protection locked="0"/>
    </xf>
    <xf numFmtId="0" fontId="55" fillId="27" borderId="21" xfId="0" applyFont="1" applyFill="1" applyBorder="1" applyAlignment="1" applyProtection="1">
      <alignment horizontal="center" vertical="center" wrapText="1"/>
      <protection/>
    </xf>
    <xf numFmtId="0" fontId="55" fillId="27" borderId="18" xfId="0" applyFont="1" applyFill="1" applyBorder="1" applyAlignment="1" applyProtection="1">
      <alignment horizontal="center" vertical="center" wrapText="1"/>
      <protection/>
    </xf>
    <xf numFmtId="0" fontId="55" fillId="27" borderId="19" xfId="0" applyFont="1" applyFill="1" applyBorder="1" applyAlignment="1" applyProtection="1">
      <alignment horizontal="center" vertical="center" wrapText="1"/>
      <protection/>
    </xf>
    <xf numFmtId="0" fontId="55" fillId="27" borderId="15" xfId="0" applyFont="1" applyFill="1" applyBorder="1" applyAlignment="1" applyProtection="1">
      <alignment horizontal="center" vertical="center" wrapText="1"/>
      <protection/>
    </xf>
    <xf numFmtId="0" fontId="15" fillId="0" borderId="60" xfId="0" applyFont="1" applyFill="1" applyBorder="1" applyAlignment="1" applyProtection="1">
      <alignment horizontal="center" vertical="center"/>
      <protection/>
    </xf>
    <xf numFmtId="0" fontId="15" fillId="0" borderId="61" xfId="0" applyFont="1" applyFill="1" applyBorder="1" applyAlignment="1" applyProtection="1">
      <alignment horizontal="center" vertical="center"/>
      <protection/>
    </xf>
    <xf numFmtId="0" fontId="15" fillId="0" borderId="62" xfId="0" applyFont="1" applyFill="1" applyBorder="1" applyAlignment="1" applyProtection="1">
      <alignment horizontal="center" vertical="center"/>
      <protection/>
    </xf>
    <xf numFmtId="0" fontId="132" fillId="27" borderId="13" xfId="0" applyFont="1" applyFill="1" applyBorder="1" applyAlignment="1" applyProtection="1">
      <alignment horizontal="center" vertical="center" wrapText="1"/>
      <protection/>
    </xf>
    <xf numFmtId="0" fontId="132" fillId="27" borderId="21" xfId="0" applyFont="1" applyFill="1" applyBorder="1" applyAlignment="1" applyProtection="1">
      <alignment horizontal="center" vertical="center" wrapText="1"/>
      <protection/>
    </xf>
    <xf numFmtId="0" fontId="132" fillId="27" borderId="18" xfId="0" applyFont="1" applyFill="1" applyBorder="1" applyAlignment="1" applyProtection="1">
      <alignment horizontal="center" vertical="center" wrapText="1"/>
      <protection/>
    </xf>
    <xf numFmtId="0" fontId="25" fillId="30" borderId="23" xfId="0" applyFont="1" applyFill="1" applyBorder="1" applyAlignment="1" applyProtection="1">
      <alignment horizontal="center" vertical="center"/>
      <protection/>
    </xf>
    <xf numFmtId="0" fontId="25" fillId="30" borderId="22" xfId="0" applyFont="1" applyFill="1" applyBorder="1" applyAlignment="1" applyProtection="1">
      <alignment horizontal="center" vertical="center"/>
      <protection/>
    </xf>
    <xf numFmtId="0" fontId="25" fillId="30" borderId="20" xfId="0" applyFont="1" applyFill="1" applyBorder="1" applyAlignment="1" applyProtection="1">
      <alignment horizontal="center" vertical="center"/>
      <protection/>
    </xf>
    <xf numFmtId="0" fontId="25" fillId="30" borderId="43" xfId="0" applyFont="1" applyFill="1" applyBorder="1" applyAlignment="1" applyProtection="1">
      <alignment horizontal="center" vertical="center"/>
      <protection/>
    </xf>
    <xf numFmtId="0" fontId="25" fillId="30" borderId="19" xfId="0" applyFont="1" applyFill="1" applyBorder="1" applyAlignment="1" applyProtection="1">
      <alignment horizontal="center" vertical="center"/>
      <protection/>
    </xf>
    <xf numFmtId="0" fontId="25" fillId="30" borderId="15" xfId="0" applyFont="1" applyFill="1" applyBorder="1" applyAlignment="1" applyProtection="1">
      <alignment horizontal="center" vertical="center"/>
      <protection/>
    </xf>
    <xf numFmtId="0" fontId="43" fillId="30" borderId="17" xfId="0" applyFont="1" applyFill="1" applyBorder="1" applyAlignment="1" applyProtection="1">
      <alignment horizontal="center" vertical="center"/>
      <protection/>
    </xf>
    <xf numFmtId="0" fontId="43" fillId="30" borderId="0" xfId="0" applyFont="1" applyFill="1" applyBorder="1" applyAlignment="1" applyProtection="1">
      <alignment horizontal="center" vertical="center"/>
      <protection/>
    </xf>
    <xf numFmtId="0" fontId="43" fillId="30" borderId="14" xfId="0" applyFont="1" applyFill="1" applyBorder="1" applyAlignment="1" applyProtection="1">
      <alignment horizontal="center" vertical="center"/>
      <protection/>
    </xf>
    <xf numFmtId="14" fontId="25" fillId="30" borderId="17" xfId="0" applyNumberFormat="1" applyFont="1" applyFill="1" applyBorder="1" applyAlignment="1" applyProtection="1">
      <alignment horizontal="center" vertical="center"/>
      <protection/>
    </xf>
    <xf numFmtId="14" fontId="25" fillId="30" borderId="0" xfId="0" applyNumberFormat="1" applyFont="1" applyFill="1" applyBorder="1" applyAlignment="1" applyProtection="1">
      <alignment horizontal="center" vertical="center"/>
      <protection/>
    </xf>
    <xf numFmtId="14" fontId="25" fillId="30" borderId="14" xfId="0" applyNumberFormat="1" applyFont="1" applyFill="1" applyBorder="1" applyAlignment="1" applyProtection="1">
      <alignment horizontal="center" vertical="center"/>
      <protection/>
    </xf>
    <xf numFmtId="0" fontId="25" fillId="30" borderId="17" xfId="0" applyFont="1" applyFill="1" applyBorder="1" applyAlignment="1" applyProtection="1">
      <alignment horizontal="center" vertical="center"/>
      <protection/>
    </xf>
    <xf numFmtId="0" fontId="25" fillId="30" borderId="0" xfId="0" applyFont="1" applyFill="1" applyBorder="1" applyAlignment="1" applyProtection="1">
      <alignment horizontal="center" vertical="center"/>
      <protection/>
    </xf>
    <xf numFmtId="0" fontId="25" fillId="30" borderId="14" xfId="0" applyFont="1" applyFill="1" applyBorder="1" applyAlignment="1" applyProtection="1">
      <alignment horizontal="center" vertical="center"/>
      <protection/>
    </xf>
    <xf numFmtId="0" fontId="26" fillId="30" borderId="13" xfId="0" applyFont="1" applyFill="1" applyBorder="1" applyAlignment="1" applyProtection="1">
      <alignment horizontal="center" vertical="center" wrapText="1"/>
      <protection/>
    </xf>
    <xf numFmtId="0" fontId="26" fillId="30" borderId="43" xfId="0" applyFont="1" applyFill="1" applyBorder="1" applyAlignment="1" applyProtection="1">
      <alignment horizontal="center" vertical="center" wrapText="1"/>
      <protection/>
    </xf>
    <xf numFmtId="0" fontId="41" fillId="27" borderId="21" xfId="0" applyFont="1" applyFill="1" applyBorder="1" applyAlignment="1" applyProtection="1">
      <alignment horizontal="center" vertical="center" wrapText="1"/>
      <protection/>
    </xf>
    <xf numFmtId="0" fontId="41" fillId="27" borderId="0" xfId="0" applyFont="1" applyFill="1" applyBorder="1" applyAlignment="1" applyProtection="1">
      <alignment horizontal="center" vertical="center" wrapText="1"/>
      <protection/>
    </xf>
    <xf numFmtId="0" fontId="41" fillId="27" borderId="0" xfId="0" applyFont="1" applyFill="1" applyBorder="1" applyAlignment="1" applyProtection="1">
      <alignment horizontal="center" vertical="center"/>
      <protection/>
    </xf>
    <xf numFmtId="0" fontId="41" fillId="27" borderId="0" xfId="0" applyFont="1" applyFill="1" applyAlignment="1" applyProtection="1">
      <alignment horizontal="center" vertical="center"/>
      <protection/>
    </xf>
    <xf numFmtId="0" fontId="43" fillId="30" borderId="13" xfId="0" applyFont="1" applyFill="1" applyBorder="1" applyAlignment="1" applyProtection="1">
      <alignment horizontal="center" vertical="center"/>
      <protection/>
    </xf>
    <xf numFmtId="0" fontId="43" fillId="30" borderId="21" xfId="0" applyFont="1" applyFill="1" applyBorder="1" applyAlignment="1" applyProtection="1">
      <alignment horizontal="center" vertical="center"/>
      <protection/>
    </xf>
    <xf numFmtId="0" fontId="43" fillId="30" borderId="18" xfId="0" applyFont="1" applyFill="1" applyBorder="1" applyAlignment="1" applyProtection="1">
      <alignment horizontal="center" vertical="center"/>
      <protection/>
    </xf>
    <xf numFmtId="0" fontId="47" fillId="30" borderId="23" xfId="0" applyFont="1" applyFill="1" applyBorder="1" applyAlignment="1" applyProtection="1">
      <alignment horizontal="center" vertical="center"/>
      <protection/>
    </xf>
    <xf numFmtId="0" fontId="47" fillId="30" borderId="22" xfId="0" applyFont="1" applyFill="1" applyBorder="1" applyAlignment="1" applyProtection="1">
      <alignment horizontal="center" vertical="center"/>
      <protection/>
    </xf>
    <xf numFmtId="0" fontId="47" fillId="30" borderId="20" xfId="0" applyFont="1" applyFill="1" applyBorder="1" applyAlignment="1" applyProtection="1">
      <alignment horizontal="center" vertical="center"/>
      <protection/>
    </xf>
    <xf numFmtId="0" fontId="20" fillId="30" borderId="44" xfId="0" applyFont="1" applyFill="1" applyBorder="1" applyAlignment="1" applyProtection="1">
      <alignment horizontal="center" vertical="center" wrapText="1"/>
      <protection/>
    </xf>
    <xf numFmtId="0" fontId="20" fillId="30" borderId="16" xfId="0" applyFont="1" applyFill="1" applyBorder="1" applyAlignment="1" applyProtection="1">
      <alignment horizontal="center" vertical="center" wrapText="1"/>
      <protection/>
    </xf>
    <xf numFmtId="0" fontId="20" fillId="30" borderId="11" xfId="0" applyFont="1" applyFill="1" applyBorder="1" applyAlignment="1" applyProtection="1">
      <alignment horizontal="center" vertical="center" wrapText="1"/>
      <protection/>
    </xf>
    <xf numFmtId="0" fontId="133" fillId="33" borderId="0" xfId="0" applyFont="1" applyFill="1" applyAlignment="1" applyProtection="1">
      <alignment horizontal="right"/>
      <protection/>
    </xf>
    <xf numFmtId="0" fontId="134" fillId="33" borderId="0" xfId="0" applyFont="1" applyFill="1" applyBorder="1" applyAlignment="1" applyProtection="1">
      <alignment horizontal="right"/>
      <protection/>
    </xf>
    <xf numFmtId="0" fontId="134" fillId="33" borderId="0" xfId="0" applyFont="1" applyFill="1" applyAlignment="1" applyProtection="1">
      <alignment horizontal="right"/>
      <protection/>
    </xf>
    <xf numFmtId="0" fontId="133" fillId="33" borderId="0" xfId="0" applyFont="1" applyFill="1" applyBorder="1" applyAlignment="1" applyProtection="1">
      <alignment horizontal="right"/>
      <protection/>
    </xf>
    <xf numFmtId="0" fontId="44" fillId="36" borderId="17" xfId="0" applyFont="1" applyFill="1" applyBorder="1" applyAlignment="1" applyProtection="1">
      <alignment horizontal="center" vertical="center"/>
      <protection/>
    </xf>
    <xf numFmtId="0" fontId="44" fillId="36" borderId="0" xfId="0" applyFont="1" applyFill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135" fillId="33" borderId="0" xfId="0" applyFont="1" applyFill="1" applyAlignment="1" applyProtection="1">
      <alignment horizontal="center" vertical="center"/>
      <protection/>
    </xf>
    <xf numFmtId="0" fontId="14" fillId="36" borderId="17" xfId="0" applyFont="1" applyFill="1" applyBorder="1" applyAlignment="1" applyProtection="1">
      <alignment horizontal="center" vertical="center"/>
      <protection/>
    </xf>
    <xf numFmtId="0" fontId="14" fillId="36" borderId="0" xfId="0" applyFont="1" applyFill="1" applyBorder="1" applyAlignment="1" applyProtection="1">
      <alignment horizontal="center" vertical="center"/>
      <protection/>
    </xf>
    <xf numFmtId="0" fontId="44" fillId="36" borderId="0" xfId="0" applyFont="1" applyFill="1" applyBorder="1" applyAlignment="1" applyProtection="1">
      <alignment horizontal="center" vertical="center"/>
      <protection/>
    </xf>
    <xf numFmtId="0" fontId="14" fillId="36" borderId="0" xfId="0" applyFont="1" applyFill="1" applyAlignment="1" applyProtection="1">
      <alignment horizontal="center" vertical="center"/>
      <protection/>
    </xf>
    <xf numFmtId="0" fontId="20" fillId="7" borderId="63" xfId="0" applyFont="1" applyFill="1" applyBorder="1" applyAlignment="1" applyProtection="1">
      <alignment horizontal="center" vertical="center"/>
      <protection/>
    </xf>
    <xf numFmtId="0" fontId="20" fillId="7" borderId="64" xfId="0" applyFont="1" applyFill="1" applyBorder="1" applyAlignment="1" applyProtection="1">
      <alignment horizontal="center" vertical="center"/>
      <protection/>
    </xf>
    <xf numFmtId="0" fontId="20" fillId="7" borderId="65" xfId="0" applyFont="1" applyFill="1" applyBorder="1" applyAlignment="1" applyProtection="1">
      <alignment horizontal="center" vertical="center"/>
      <protection/>
    </xf>
    <xf numFmtId="0" fontId="20" fillId="7" borderId="66" xfId="0" applyFont="1" applyFill="1" applyBorder="1" applyAlignment="1" applyProtection="1">
      <alignment horizontal="center" vertical="center"/>
      <protection/>
    </xf>
    <xf numFmtId="0" fontId="25" fillId="50" borderId="54" xfId="44" applyFont="1" applyFill="1" applyBorder="1" applyAlignment="1" applyProtection="1">
      <alignment horizontal="center" vertical="center"/>
      <protection locked="0"/>
    </xf>
    <xf numFmtId="0" fontId="25" fillId="51" borderId="55" xfId="44" applyFont="1" applyFill="1" applyBorder="1" applyAlignment="1" applyProtection="1">
      <alignment horizontal="center" vertical="center"/>
      <protection locked="0"/>
    </xf>
    <xf numFmtId="0" fontId="25" fillId="52" borderId="56" xfId="44" applyFont="1" applyFill="1" applyBorder="1" applyAlignment="1" applyProtection="1">
      <alignment horizontal="center" vertical="center"/>
      <protection locked="0"/>
    </xf>
    <xf numFmtId="0" fontId="25" fillId="53" borderId="57" xfId="44" applyFont="1" applyFill="1" applyBorder="1" applyAlignment="1" applyProtection="1">
      <alignment horizontal="center" vertical="center"/>
      <protection locked="0"/>
    </xf>
    <xf numFmtId="0" fontId="18" fillId="36" borderId="17" xfId="0" applyFont="1" applyFill="1" applyBorder="1" applyAlignment="1" applyProtection="1">
      <alignment horizontal="center" vertical="center"/>
      <protection/>
    </xf>
    <xf numFmtId="0" fontId="46" fillId="30" borderId="13" xfId="0" applyFont="1" applyFill="1" applyBorder="1" applyAlignment="1" applyProtection="1">
      <alignment horizontal="center" vertical="center" wrapText="1"/>
      <protection hidden="1"/>
    </xf>
    <xf numFmtId="0" fontId="46" fillId="30" borderId="43" xfId="0" applyFont="1" applyFill="1" applyBorder="1" applyAlignment="1" applyProtection="1">
      <alignment horizontal="center" vertical="center" wrapText="1"/>
      <protection hidden="1"/>
    </xf>
    <xf numFmtId="0" fontId="46" fillId="30" borderId="67" xfId="0" applyFont="1" applyFill="1" applyBorder="1" applyAlignment="1" applyProtection="1">
      <alignment horizontal="center" vertical="center" wrapText="1"/>
      <protection hidden="1"/>
    </xf>
    <xf numFmtId="0" fontId="46" fillId="30" borderId="68" xfId="0" applyFont="1" applyFill="1" applyBorder="1" applyAlignment="1" applyProtection="1">
      <alignment horizontal="center" vertical="center" wrapText="1"/>
      <protection hidden="1"/>
    </xf>
    <xf numFmtId="0" fontId="26" fillId="30" borderId="44" xfId="0" applyFont="1" applyFill="1" applyBorder="1" applyAlignment="1" applyProtection="1">
      <alignment horizontal="center" vertical="center" textRotation="90"/>
      <protection/>
    </xf>
    <xf numFmtId="0" fontId="26" fillId="30" borderId="16" xfId="0" applyFont="1" applyFill="1" applyBorder="1" applyAlignment="1" applyProtection="1">
      <alignment horizontal="center" vertical="center" textRotation="90"/>
      <protection/>
    </xf>
    <xf numFmtId="0" fontId="26" fillId="30" borderId="11" xfId="0" applyFont="1" applyFill="1" applyBorder="1" applyAlignment="1" applyProtection="1">
      <alignment horizontal="center" vertical="center" textRotation="90"/>
      <protection/>
    </xf>
    <xf numFmtId="0" fontId="118" fillId="27" borderId="19" xfId="0" applyFont="1" applyFill="1" applyBorder="1" applyAlignment="1" applyProtection="1">
      <alignment horizontal="center" vertical="center"/>
      <protection/>
    </xf>
    <xf numFmtId="16" fontId="46" fillId="30" borderId="44" xfId="0" applyNumberFormat="1" applyFont="1" applyFill="1" applyBorder="1" applyAlignment="1" applyProtection="1" quotePrefix="1">
      <alignment horizontal="center" vertical="center" wrapText="1"/>
      <protection hidden="1"/>
    </xf>
    <xf numFmtId="0" fontId="46" fillId="30" borderId="11" xfId="0" applyFont="1" applyFill="1" applyBorder="1" applyAlignment="1" applyProtection="1">
      <alignment horizontal="center" vertical="center" wrapText="1"/>
      <protection hidden="1"/>
    </xf>
    <xf numFmtId="0" fontId="46" fillId="3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46" fillId="30" borderId="15" xfId="0" applyNumberFormat="1" applyFont="1" applyFill="1" applyBorder="1" applyAlignment="1" applyProtection="1">
      <alignment horizontal="center" vertical="center" wrapText="1"/>
      <protection hidden="1"/>
    </xf>
    <xf numFmtId="0" fontId="46" fillId="30" borderId="18" xfId="0" applyFont="1" applyFill="1" applyBorder="1" applyAlignment="1" applyProtection="1" quotePrefix="1">
      <alignment horizontal="center" vertical="center" wrapText="1"/>
      <protection hidden="1"/>
    </xf>
    <xf numFmtId="0" fontId="46" fillId="30" borderId="15" xfId="0" applyFont="1" applyFill="1" applyBorder="1" applyAlignment="1" applyProtection="1">
      <alignment horizontal="center" vertical="center" wrapText="1"/>
      <protection hidden="1"/>
    </xf>
    <xf numFmtId="0" fontId="45" fillId="30" borderId="44" xfId="0" applyFont="1" applyFill="1" applyBorder="1" applyAlignment="1" applyProtection="1">
      <alignment horizontal="center" vertical="center" textRotation="90"/>
      <protection/>
    </xf>
    <xf numFmtId="0" fontId="45" fillId="30" borderId="16" xfId="0" applyFont="1" applyFill="1" applyBorder="1" applyAlignment="1" applyProtection="1">
      <alignment horizontal="center" vertical="center" textRotation="90"/>
      <protection/>
    </xf>
    <xf numFmtId="0" fontId="45" fillId="30" borderId="11" xfId="0" applyFont="1" applyFill="1" applyBorder="1" applyAlignment="1" applyProtection="1">
      <alignment horizontal="center" vertical="center" textRotation="90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39" fillId="4" borderId="69" xfId="0" applyFont="1" applyFill="1" applyBorder="1" applyAlignment="1" applyProtection="1">
      <alignment horizontal="center" vertical="center"/>
      <protection/>
    </xf>
    <xf numFmtId="0" fontId="39" fillId="4" borderId="70" xfId="0" applyFont="1" applyFill="1" applyBorder="1" applyAlignment="1" applyProtection="1">
      <alignment horizontal="center" vertical="center"/>
      <protection/>
    </xf>
    <xf numFmtId="0" fontId="39" fillId="4" borderId="71" xfId="0" applyFont="1" applyFill="1" applyBorder="1" applyAlignment="1" applyProtection="1">
      <alignment horizontal="center" vertical="center"/>
      <protection/>
    </xf>
    <xf numFmtId="0" fontId="40" fillId="4" borderId="72" xfId="0" applyFont="1" applyFill="1" applyBorder="1" applyAlignment="1" applyProtection="1">
      <alignment horizontal="center" vertical="center"/>
      <protection/>
    </xf>
    <xf numFmtId="0" fontId="40" fillId="4" borderId="73" xfId="0" applyFont="1" applyFill="1" applyBorder="1" applyAlignment="1" applyProtection="1">
      <alignment horizontal="center" vertical="center"/>
      <protection/>
    </xf>
    <xf numFmtId="0" fontId="40" fillId="4" borderId="74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2" fillId="37" borderId="0" xfId="0" applyFont="1" applyFill="1" applyBorder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2" fillId="37" borderId="0" xfId="0" applyFont="1" applyFill="1" applyAlignment="1" applyProtection="1">
      <alignment horizontal="center" vertical="center"/>
      <protection/>
    </xf>
    <xf numFmtId="0" fontId="33" fillId="0" borderId="17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7" fillId="34" borderId="17" xfId="0" applyFont="1" applyFill="1" applyBorder="1" applyAlignment="1" applyProtection="1">
      <alignment horizontal="center" vertical="center"/>
      <protection/>
    </xf>
    <xf numFmtId="0" fontId="37" fillId="34" borderId="0" xfId="0" applyFont="1" applyFill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46" fillId="7" borderId="23" xfId="51" applyFont="1" applyFill="1" applyBorder="1" applyAlignment="1">
      <alignment horizontal="center" vertical="center"/>
      <protection/>
    </xf>
    <xf numFmtId="0" fontId="46" fillId="7" borderId="22" xfId="51" applyFont="1" applyFill="1" applyBorder="1" applyAlignment="1">
      <alignment horizontal="center" vertical="center"/>
      <protection/>
    </xf>
    <xf numFmtId="0" fontId="46" fillId="7" borderId="20" xfId="51" applyFont="1" applyFill="1" applyBorder="1" applyAlignment="1">
      <alignment horizontal="center" vertical="center"/>
      <protection/>
    </xf>
    <xf numFmtId="0" fontId="43" fillId="0" borderId="0" xfId="51" applyFont="1" applyAlignment="1">
      <alignment horizontal="right" vertical="center"/>
      <protection/>
    </xf>
    <xf numFmtId="0" fontId="25" fillId="0" borderId="0" xfId="51" applyFont="1" applyAlignment="1">
      <alignment horizontal="left" vertical="center"/>
      <protection/>
    </xf>
    <xf numFmtId="0" fontId="136" fillId="0" borderId="0" xfId="51" applyFont="1" applyAlignment="1">
      <alignment horizontal="left" vertical="center"/>
      <protection/>
    </xf>
    <xf numFmtId="0" fontId="20" fillId="45" borderId="75" xfId="51" applyFont="1" applyFill="1" applyBorder="1" applyAlignment="1">
      <alignment horizontal="center" vertical="center"/>
      <protection/>
    </xf>
    <xf numFmtId="0" fontId="20" fillId="45" borderId="76" xfId="51" applyFont="1" applyFill="1" applyBorder="1" applyAlignment="1">
      <alignment horizontal="center" vertical="center"/>
      <protection/>
    </xf>
    <xf numFmtId="0" fontId="20" fillId="45" borderId="77" xfId="51" applyFont="1" applyFill="1" applyBorder="1" applyAlignment="1">
      <alignment horizontal="center" vertical="center"/>
      <protection/>
    </xf>
    <xf numFmtId="14" fontId="136" fillId="0" borderId="0" xfId="51" applyNumberFormat="1" applyFont="1" applyAlignment="1">
      <alignment horizontal="left" vertical="center"/>
      <protection/>
    </xf>
    <xf numFmtId="0" fontId="3" fillId="0" borderId="44" xfId="0" applyFont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hase finale'!A1" /><Relationship Id="rId2" Type="http://schemas.openxmlformats.org/officeDocument/2006/relationships/hyperlink" Target="#Participant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95250</xdr:rowOff>
    </xdr:from>
    <xdr:to>
      <xdr:col>1</xdr:col>
      <xdr:colOff>95250</xdr:colOff>
      <xdr:row>6</xdr:row>
      <xdr:rowOff>0</xdr:rowOff>
    </xdr:to>
    <xdr:sp>
      <xdr:nvSpPr>
        <xdr:cNvPr id="1" name="Plaque 2">
          <a:hlinkClick r:id="rId1"/>
        </xdr:cNvPr>
        <xdr:cNvSpPr>
          <a:spLocks/>
        </xdr:cNvSpPr>
      </xdr:nvSpPr>
      <xdr:spPr>
        <a:xfrm>
          <a:off x="66675" y="1085850"/>
          <a:ext cx="1190625" cy="304800"/>
        </a:xfrm>
        <a:prstGeom prst="bevel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Phase Finale</a:t>
          </a:r>
        </a:p>
      </xdr:txBody>
    </xdr:sp>
    <xdr:clientData fPrintsWithSheet="0"/>
  </xdr:twoCellAnchor>
  <xdr:twoCellAnchor>
    <xdr:from>
      <xdr:col>0</xdr:col>
      <xdr:colOff>57150</xdr:colOff>
      <xdr:row>7</xdr:row>
      <xdr:rowOff>0</xdr:rowOff>
    </xdr:from>
    <xdr:to>
      <xdr:col>1</xdr:col>
      <xdr:colOff>85725</xdr:colOff>
      <xdr:row>8</xdr:row>
      <xdr:rowOff>104775</xdr:rowOff>
    </xdr:to>
    <xdr:sp>
      <xdr:nvSpPr>
        <xdr:cNvPr id="2" name="Plaque 3">
          <a:hlinkClick r:id="rId2"/>
        </xdr:cNvPr>
        <xdr:cNvSpPr>
          <a:spLocks/>
        </xdr:cNvSpPr>
      </xdr:nvSpPr>
      <xdr:spPr>
        <a:xfrm>
          <a:off x="57150" y="1524000"/>
          <a:ext cx="1190625" cy="304800"/>
        </a:xfrm>
        <a:prstGeom prst="bevel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Participants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N212"/>
  <sheetViews>
    <sheetView zoomScalePageLayoutView="0" workbookViewId="0" topLeftCell="A1">
      <selection activeCell="J30" sqref="J30"/>
    </sheetView>
  </sheetViews>
  <sheetFormatPr defaultColWidth="12" defaultRowHeight="12.75"/>
  <cols>
    <col min="1" max="3" width="12" style="211" customWidth="1"/>
    <col min="4" max="4" width="29" style="211" customWidth="1"/>
    <col min="5" max="5" width="41.5" style="211" customWidth="1"/>
    <col min="6" max="6" width="12.5" style="255" customWidth="1"/>
    <col min="7" max="7" width="19.16015625" style="211" customWidth="1"/>
    <col min="8" max="9" width="12" style="211" customWidth="1"/>
    <col min="10" max="10" width="48.83203125" style="211" customWidth="1"/>
    <col min="11" max="16384" width="12" style="211" customWidth="1"/>
  </cols>
  <sheetData>
    <row r="1" spans="1:14" ht="18">
      <c r="A1" s="209" t="s">
        <v>1</v>
      </c>
      <c r="B1" s="209" t="s">
        <v>2</v>
      </c>
      <c r="C1" s="209" t="s">
        <v>4</v>
      </c>
      <c r="D1" s="258" t="s">
        <v>45</v>
      </c>
      <c r="E1" s="258"/>
      <c r="F1" s="258"/>
      <c r="G1" s="210"/>
      <c r="H1" s="210"/>
      <c r="J1" s="257" t="s">
        <v>196</v>
      </c>
      <c r="K1" s="257"/>
      <c r="L1" s="257"/>
      <c r="M1" s="257"/>
      <c r="N1" s="257"/>
    </row>
    <row r="2" spans="1:13" ht="13.5">
      <c r="A2" s="210" t="s">
        <v>57</v>
      </c>
      <c r="B2" s="210" t="s">
        <v>73</v>
      </c>
      <c r="C2" s="210" t="s">
        <v>50</v>
      </c>
      <c r="D2" s="246" t="s">
        <v>47</v>
      </c>
      <c r="E2" s="246" t="s">
        <v>44</v>
      </c>
      <c r="F2" s="256" t="s">
        <v>46</v>
      </c>
      <c r="G2" s="233"/>
      <c r="H2" s="209" t="s">
        <v>35</v>
      </c>
      <c r="J2" s="69" t="s">
        <v>63</v>
      </c>
      <c r="K2" s="69" t="s">
        <v>91</v>
      </c>
      <c r="L2" s="69" t="s">
        <v>92</v>
      </c>
      <c r="M2" s="69" t="s">
        <v>93</v>
      </c>
    </row>
    <row r="3" spans="1:13" ht="13.5">
      <c r="A3" s="210" t="s">
        <v>58</v>
      </c>
      <c r="B3" s="210" t="s">
        <v>74</v>
      </c>
      <c r="C3" s="210" t="s">
        <v>53</v>
      </c>
      <c r="D3" s="405" t="s">
        <v>75</v>
      </c>
      <c r="E3" s="405" t="s">
        <v>67</v>
      </c>
      <c r="F3" s="406" t="s">
        <v>67</v>
      </c>
      <c r="G3" s="210"/>
      <c r="H3" s="210"/>
      <c r="J3" s="69" t="s">
        <v>117</v>
      </c>
      <c r="K3" s="69" t="s">
        <v>108</v>
      </c>
      <c r="L3" s="69" t="s">
        <v>109</v>
      </c>
      <c r="M3" s="69" t="s">
        <v>110</v>
      </c>
    </row>
    <row r="4" spans="1:13" ht="13.5">
      <c r="A4" s="210" t="s">
        <v>59</v>
      </c>
      <c r="B4" s="210" t="s">
        <v>49</v>
      </c>
      <c r="C4" s="210" t="s">
        <v>54</v>
      </c>
      <c r="D4" s="407" t="s">
        <v>299</v>
      </c>
      <c r="E4" s="407" t="s">
        <v>113</v>
      </c>
      <c r="F4" s="408" t="s">
        <v>276</v>
      </c>
      <c r="H4" s="210" t="s">
        <v>51</v>
      </c>
      <c r="J4" s="69" t="s">
        <v>62</v>
      </c>
      <c r="K4" s="69" t="s">
        <v>94</v>
      </c>
      <c r="L4" s="69" t="s">
        <v>95</v>
      </c>
      <c r="M4" s="69" t="s">
        <v>96</v>
      </c>
    </row>
    <row r="5" spans="1:13" ht="13.5">
      <c r="A5" s="210" t="s">
        <v>60</v>
      </c>
      <c r="B5" s="210" t="s">
        <v>68</v>
      </c>
      <c r="C5" s="210" t="s">
        <v>55</v>
      </c>
      <c r="D5" s="407" t="s">
        <v>492</v>
      </c>
      <c r="E5" s="407" t="s">
        <v>113</v>
      </c>
      <c r="F5" s="408" t="s">
        <v>493</v>
      </c>
      <c r="H5" s="210" t="s">
        <v>52</v>
      </c>
      <c r="J5" s="69" t="s">
        <v>64</v>
      </c>
      <c r="K5" s="69" t="s">
        <v>97</v>
      </c>
      <c r="L5" s="69" t="s">
        <v>98</v>
      </c>
      <c r="M5" s="69" t="s">
        <v>99</v>
      </c>
    </row>
    <row r="6" spans="1:13" ht="13.5">
      <c r="A6" s="210" t="s">
        <v>137</v>
      </c>
      <c r="B6" s="210" t="s">
        <v>69</v>
      </c>
      <c r="C6" s="210" t="s">
        <v>56</v>
      </c>
      <c r="D6" s="407" t="s">
        <v>494</v>
      </c>
      <c r="E6" s="407" t="s">
        <v>114</v>
      </c>
      <c r="F6" s="408" t="s">
        <v>495</v>
      </c>
      <c r="H6" s="210"/>
      <c r="J6" s="69" t="s">
        <v>65</v>
      </c>
      <c r="K6" s="69" t="s">
        <v>100</v>
      </c>
      <c r="L6" s="69" t="s">
        <v>101</v>
      </c>
      <c r="M6" s="69" t="s">
        <v>102</v>
      </c>
    </row>
    <row r="7" spans="1:13" ht="13.5">
      <c r="A7" s="210"/>
      <c r="B7" s="210" t="s">
        <v>70</v>
      </c>
      <c r="C7" s="210"/>
      <c r="D7" s="407" t="s">
        <v>300</v>
      </c>
      <c r="E7" s="407" t="s">
        <v>114</v>
      </c>
      <c r="F7" s="408" t="s">
        <v>199</v>
      </c>
      <c r="H7" s="210"/>
      <c r="J7" s="69" t="s">
        <v>61</v>
      </c>
      <c r="K7" s="69" t="s">
        <v>103</v>
      </c>
      <c r="L7" s="69" t="s">
        <v>104</v>
      </c>
      <c r="M7" s="69" t="s">
        <v>105</v>
      </c>
    </row>
    <row r="8" spans="1:13" ht="13.5">
      <c r="A8" s="210"/>
      <c r="B8" s="210" t="s">
        <v>71</v>
      </c>
      <c r="C8" s="210"/>
      <c r="D8" s="407" t="s">
        <v>301</v>
      </c>
      <c r="E8" s="407" t="s">
        <v>113</v>
      </c>
      <c r="F8" s="408" t="s">
        <v>302</v>
      </c>
      <c r="H8" s="210"/>
      <c r="J8" s="69" t="s">
        <v>66</v>
      </c>
      <c r="K8" s="69" t="s">
        <v>91</v>
      </c>
      <c r="L8" s="69" t="s">
        <v>106</v>
      </c>
      <c r="M8" s="69" t="s">
        <v>107</v>
      </c>
    </row>
    <row r="9" spans="1:8" ht="12.75">
      <c r="A9" s="210"/>
      <c r="B9" s="210" t="s">
        <v>72</v>
      </c>
      <c r="C9" s="210"/>
      <c r="D9" s="407" t="s">
        <v>303</v>
      </c>
      <c r="E9" s="407" t="s">
        <v>115</v>
      </c>
      <c r="F9" s="408" t="s">
        <v>304</v>
      </c>
      <c r="H9" s="210"/>
    </row>
    <row r="10" spans="1:8" ht="12.75">
      <c r="A10" s="210"/>
      <c r="B10" s="210" t="s">
        <v>138</v>
      </c>
      <c r="C10" s="210"/>
      <c r="D10" s="407" t="s">
        <v>305</v>
      </c>
      <c r="E10" s="407" t="s">
        <v>116</v>
      </c>
      <c r="F10" s="408" t="s">
        <v>200</v>
      </c>
      <c r="H10" s="210"/>
    </row>
    <row r="11" spans="1:8" ht="12.75">
      <c r="A11" s="210"/>
      <c r="B11" s="210" t="s">
        <v>139</v>
      </c>
      <c r="C11" s="210"/>
      <c r="D11" s="407" t="s">
        <v>306</v>
      </c>
      <c r="E11" s="407" t="s">
        <v>117</v>
      </c>
      <c r="F11" s="408" t="s">
        <v>277</v>
      </c>
      <c r="H11" s="210"/>
    </row>
    <row r="12" spans="1:13" ht="13.5">
      <c r="A12" s="210"/>
      <c r="B12" s="210" t="s">
        <v>140</v>
      </c>
      <c r="C12" s="210"/>
      <c r="D12" s="407" t="s">
        <v>307</v>
      </c>
      <c r="E12" s="407" t="s">
        <v>117</v>
      </c>
      <c r="F12" s="408" t="s">
        <v>308</v>
      </c>
      <c r="H12" s="210"/>
      <c r="J12" s="69"/>
      <c r="K12" s="69"/>
      <c r="L12" s="69"/>
      <c r="M12" s="69"/>
    </row>
    <row r="13" spans="1:8" ht="12.75">
      <c r="A13" s="210"/>
      <c r="B13" s="210"/>
      <c r="C13" s="210"/>
      <c r="D13" s="407" t="s">
        <v>309</v>
      </c>
      <c r="E13" s="407" t="s">
        <v>113</v>
      </c>
      <c r="F13" s="408" t="s">
        <v>310</v>
      </c>
      <c r="H13" s="210"/>
    </row>
    <row r="14" spans="1:8" ht="12.75">
      <c r="A14" s="257" t="s">
        <v>10</v>
      </c>
      <c r="B14" s="257"/>
      <c r="C14" s="210"/>
      <c r="D14" s="407" t="s">
        <v>311</v>
      </c>
      <c r="E14" s="407" t="s">
        <v>113</v>
      </c>
      <c r="F14" s="408" t="s">
        <v>278</v>
      </c>
      <c r="H14" s="210"/>
    </row>
    <row r="15" spans="1:8" ht="12.75">
      <c r="A15" s="209" t="s">
        <v>160</v>
      </c>
      <c r="B15" s="209" t="s">
        <v>161</v>
      </c>
      <c r="C15" s="210"/>
      <c r="D15" s="407" t="s">
        <v>496</v>
      </c>
      <c r="E15" s="407" t="s">
        <v>113</v>
      </c>
      <c r="F15" s="408" t="s">
        <v>497</v>
      </c>
      <c r="H15" s="210"/>
    </row>
    <row r="16" spans="1:8" ht="12.75">
      <c r="A16" s="210">
        <v>2</v>
      </c>
      <c r="B16" s="210">
        <v>2</v>
      </c>
      <c r="C16" s="210"/>
      <c r="D16" s="407" t="s">
        <v>312</v>
      </c>
      <c r="E16" s="407" t="s">
        <v>114</v>
      </c>
      <c r="F16" s="408" t="s">
        <v>201</v>
      </c>
      <c r="H16" s="210"/>
    </row>
    <row r="17" spans="1:8" ht="12.75">
      <c r="A17" s="210">
        <v>1</v>
      </c>
      <c r="B17" s="210">
        <v>0</v>
      </c>
      <c r="C17" s="210"/>
      <c r="D17" s="407" t="s">
        <v>313</v>
      </c>
      <c r="E17" s="407" t="s">
        <v>114</v>
      </c>
      <c r="F17" s="408" t="s">
        <v>202</v>
      </c>
      <c r="H17" s="210"/>
    </row>
    <row r="18" spans="1:8" ht="12.75">
      <c r="A18" s="210">
        <v>0</v>
      </c>
      <c r="B18" s="210"/>
      <c r="C18" s="210"/>
      <c r="D18" s="407" t="s">
        <v>314</v>
      </c>
      <c r="E18" s="407" t="s">
        <v>115</v>
      </c>
      <c r="F18" s="408" t="s">
        <v>203</v>
      </c>
      <c r="H18" s="210"/>
    </row>
    <row r="19" spans="1:13" ht="13.5">
      <c r="A19" s="210"/>
      <c r="B19" s="210"/>
      <c r="C19" s="210"/>
      <c r="D19" s="407" t="s">
        <v>315</v>
      </c>
      <c r="E19" s="407" t="s">
        <v>114</v>
      </c>
      <c r="F19" s="408" t="s">
        <v>204</v>
      </c>
      <c r="H19" s="210"/>
      <c r="J19" s="69"/>
      <c r="K19" s="69"/>
      <c r="L19" s="69"/>
      <c r="M19" s="69"/>
    </row>
    <row r="20" spans="1:13" ht="13.5">
      <c r="A20" s="230" t="s">
        <v>167</v>
      </c>
      <c r="B20" s="210"/>
      <c r="C20" s="210"/>
      <c r="D20" s="407" t="s">
        <v>316</v>
      </c>
      <c r="E20" s="407" t="s">
        <v>117</v>
      </c>
      <c r="F20" s="408" t="s">
        <v>205</v>
      </c>
      <c r="H20" s="210"/>
      <c r="J20" s="69"/>
      <c r="K20" s="69"/>
      <c r="L20" s="69"/>
      <c r="M20" s="69"/>
    </row>
    <row r="21" spans="1:13" ht="13.5">
      <c r="A21" s="210" t="s">
        <v>168</v>
      </c>
      <c r="B21" s="210"/>
      <c r="C21" s="210"/>
      <c r="D21" s="407" t="s">
        <v>317</v>
      </c>
      <c r="E21" s="407" t="s">
        <v>115</v>
      </c>
      <c r="F21" s="408" t="s">
        <v>318</v>
      </c>
      <c r="H21" s="210"/>
      <c r="J21" s="69"/>
      <c r="K21" s="69"/>
      <c r="L21" s="69"/>
      <c r="M21" s="69"/>
    </row>
    <row r="22" spans="1:13" ht="13.5">
      <c r="A22" s="210" t="s">
        <v>169</v>
      </c>
      <c r="C22" s="210"/>
      <c r="D22" s="407" t="s">
        <v>319</v>
      </c>
      <c r="E22" s="407" t="s">
        <v>118</v>
      </c>
      <c r="F22" s="408" t="s">
        <v>320</v>
      </c>
      <c r="H22" s="210"/>
      <c r="J22" s="69"/>
      <c r="K22" s="69"/>
      <c r="L22" s="69"/>
      <c r="M22" s="69"/>
    </row>
    <row r="23" spans="1:13" ht="13.5">
      <c r="A23" s="210" t="s">
        <v>170</v>
      </c>
      <c r="C23" s="210"/>
      <c r="D23" s="407" t="s">
        <v>498</v>
      </c>
      <c r="E23" s="407" t="s">
        <v>115</v>
      </c>
      <c r="F23" s="408" t="s">
        <v>499</v>
      </c>
      <c r="H23" s="210"/>
      <c r="J23" s="69"/>
      <c r="K23" s="69"/>
      <c r="L23" s="69"/>
      <c r="M23" s="69"/>
    </row>
    <row r="24" spans="1:8" ht="12.75">
      <c r="A24" s="210" t="s">
        <v>171</v>
      </c>
      <c r="C24" s="210"/>
      <c r="D24" s="407" t="s">
        <v>321</v>
      </c>
      <c r="E24" s="407" t="s">
        <v>113</v>
      </c>
      <c r="F24" s="408" t="s">
        <v>322</v>
      </c>
      <c r="H24" s="210"/>
    </row>
    <row r="25" spans="1:8" ht="12.75">
      <c r="A25" s="210" t="s">
        <v>172</v>
      </c>
      <c r="C25" s="210"/>
      <c r="D25" s="407" t="s">
        <v>323</v>
      </c>
      <c r="E25" s="407" t="s">
        <v>113</v>
      </c>
      <c r="F25" s="408" t="s">
        <v>206</v>
      </c>
      <c r="H25" s="210"/>
    </row>
    <row r="26" spans="1:8" ht="12.75">
      <c r="A26" s="210" t="s">
        <v>173</v>
      </c>
      <c r="C26" s="210"/>
      <c r="D26" s="407" t="s">
        <v>324</v>
      </c>
      <c r="E26" s="407" t="s">
        <v>113</v>
      </c>
      <c r="F26" s="408" t="s">
        <v>325</v>
      </c>
      <c r="H26" s="210"/>
    </row>
    <row r="27" spans="1:8" ht="12.75">
      <c r="A27" s="210" t="s">
        <v>174</v>
      </c>
      <c r="B27" s="210"/>
      <c r="C27" s="210"/>
      <c r="D27" s="407" t="s">
        <v>326</v>
      </c>
      <c r="E27" s="407" t="s">
        <v>118</v>
      </c>
      <c r="F27" s="408" t="s">
        <v>327</v>
      </c>
      <c r="H27" s="210"/>
    </row>
    <row r="28" spans="1:8" ht="12.75">
      <c r="A28" s="210" t="s">
        <v>175</v>
      </c>
      <c r="B28" s="210"/>
      <c r="C28" s="210"/>
      <c r="D28" s="407" t="s">
        <v>500</v>
      </c>
      <c r="E28" s="407" t="s">
        <v>117</v>
      </c>
      <c r="F28" s="408" t="s">
        <v>501</v>
      </c>
      <c r="H28" s="210"/>
    </row>
    <row r="29" spans="1:8" ht="12.75">
      <c r="A29" s="210" t="s">
        <v>176</v>
      </c>
      <c r="B29" s="210"/>
      <c r="C29" s="210"/>
      <c r="D29" s="407" t="s">
        <v>328</v>
      </c>
      <c r="E29" s="407" t="s">
        <v>115</v>
      </c>
      <c r="F29" s="408" t="s">
        <v>207</v>
      </c>
      <c r="H29" s="210"/>
    </row>
    <row r="30" spans="1:8" ht="12.75">
      <c r="A30" s="210" t="s">
        <v>177</v>
      </c>
      <c r="B30" s="210"/>
      <c r="C30" s="210"/>
      <c r="D30" s="407" t="s">
        <v>502</v>
      </c>
      <c r="E30" s="407" t="s">
        <v>113</v>
      </c>
      <c r="F30" s="408" t="s">
        <v>503</v>
      </c>
      <c r="H30" s="210"/>
    </row>
    <row r="31" spans="1:8" ht="12.75">
      <c r="A31" s="210" t="s">
        <v>178</v>
      </c>
      <c r="B31" s="210"/>
      <c r="C31" s="210"/>
      <c r="D31" s="407" t="s">
        <v>329</v>
      </c>
      <c r="E31" s="407" t="s">
        <v>114</v>
      </c>
      <c r="F31" s="408" t="s">
        <v>208</v>
      </c>
      <c r="H31" s="210"/>
    </row>
    <row r="32" spans="1:8" ht="12.75">
      <c r="A32" s="210"/>
      <c r="B32" s="210"/>
      <c r="C32" s="210"/>
      <c r="D32" s="407" t="s">
        <v>504</v>
      </c>
      <c r="E32" s="407" t="s">
        <v>113</v>
      </c>
      <c r="F32" s="408" t="s">
        <v>505</v>
      </c>
      <c r="H32" s="210"/>
    </row>
    <row r="33" spans="1:8" ht="12.75">
      <c r="A33" s="210"/>
      <c r="B33" s="210"/>
      <c r="C33" s="210"/>
      <c r="D33" s="407" t="s">
        <v>330</v>
      </c>
      <c r="E33" s="407" t="s">
        <v>116</v>
      </c>
      <c r="F33" s="408" t="s">
        <v>209</v>
      </c>
      <c r="H33" s="210"/>
    </row>
    <row r="34" spans="1:8" ht="12.75">
      <c r="A34" s="210"/>
      <c r="B34" s="210"/>
      <c r="C34" s="210"/>
      <c r="D34" s="407" t="s">
        <v>506</v>
      </c>
      <c r="E34" s="407" t="s">
        <v>116</v>
      </c>
      <c r="F34" s="408" t="s">
        <v>507</v>
      </c>
      <c r="H34" s="210"/>
    </row>
    <row r="35" spans="1:8" ht="12.75">
      <c r="A35" s="210"/>
      <c r="B35" s="210"/>
      <c r="C35" s="210"/>
      <c r="D35" s="407" t="s">
        <v>508</v>
      </c>
      <c r="E35" s="407" t="s">
        <v>117</v>
      </c>
      <c r="F35" s="408" t="s">
        <v>509</v>
      </c>
      <c r="H35" s="210"/>
    </row>
    <row r="36" spans="1:8" ht="12.75">
      <c r="A36" s="210"/>
      <c r="B36" s="210"/>
      <c r="C36" s="210"/>
      <c r="D36" s="407" t="s">
        <v>510</v>
      </c>
      <c r="E36" s="407" t="s">
        <v>117</v>
      </c>
      <c r="F36" s="408" t="s">
        <v>511</v>
      </c>
      <c r="H36" s="210"/>
    </row>
    <row r="37" spans="1:8" ht="12.75">
      <c r="A37" s="210"/>
      <c r="B37" s="210"/>
      <c r="C37" s="210"/>
      <c r="D37" s="407" t="s">
        <v>512</v>
      </c>
      <c r="E37" s="407" t="s">
        <v>115</v>
      </c>
      <c r="F37" s="408" t="s">
        <v>513</v>
      </c>
      <c r="H37" s="210"/>
    </row>
    <row r="38" spans="1:8" ht="12.75">
      <c r="A38" s="210"/>
      <c r="B38" s="210"/>
      <c r="C38" s="210"/>
      <c r="D38" s="407" t="s">
        <v>331</v>
      </c>
      <c r="E38" s="407" t="s">
        <v>113</v>
      </c>
      <c r="F38" s="408" t="s">
        <v>210</v>
      </c>
      <c r="H38" s="210"/>
    </row>
    <row r="39" spans="1:8" ht="12.75">
      <c r="A39" s="210"/>
      <c r="B39" s="210"/>
      <c r="C39" s="210"/>
      <c r="D39" s="407" t="s">
        <v>332</v>
      </c>
      <c r="E39" s="407" t="s">
        <v>117</v>
      </c>
      <c r="F39" s="408" t="s">
        <v>333</v>
      </c>
      <c r="H39" s="210"/>
    </row>
    <row r="40" spans="1:8" ht="12.75">
      <c r="A40" s="210"/>
      <c r="B40" s="210"/>
      <c r="C40" s="210"/>
      <c r="D40" s="407" t="s">
        <v>334</v>
      </c>
      <c r="E40" s="407" t="s">
        <v>117</v>
      </c>
      <c r="F40" s="408" t="s">
        <v>211</v>
      </c>
      <c r="H40" s="210"/>
    </row>
    <row r="41" spans="1:8" ht="12.75">
      <c r="A41" s="210"/>
      <c r="B41" s="210"/>
      <c r="C41" s="210"/>
      <c r="D41" s="407" t="s">
        <v>335</v>
      </c>
      <c r="E41" s="407" t="s">
        <v>114</v>
      </c>
      <c r="F41" s="408" t="s">
        <v>336</v>
      </c>
      <c r="H41" s="210"/>
    </row>
    <row r="42" spans="1:8" ht="12.75">
      <c r="A42" s="210"/>
      <c r="B42" s="210"/>
      <c r="C42" s="210"/>
      <c r="D42" s="407" t="s">
        <v>337</v>
      </c>
      <c r="E42" s="407" t="s">
        <v>113</v>
      </c>
      <c r="F42" s="408" t="s">
        <v>338</v>
      </c>
      <c r="H42" s="210"/>
    </row>
    <row r="43" spans="1:8" ht="12.75">
      <c r="A43" s="210"/>
      <c r="B43" s="210"/>
      <c r="C43" s="210"/>
      <c r="D43" s="407" t="s">
        <v>339</v>
      </c>
      <c r="E43" s="407" t="s">
        <v>115</v>
      </c>
      <c r="F43" s="408" t="s">
        <v>212</v>
      </c>
      <c r="H43" s="210"/>
    </row>
    <row r="44" spans="1:8" ht="12.75">
      <c r="A44" s="210"/>
      <c r="B44" s="210"/>
      <c r="C44" s="210"/>
      <c r="D44" s="407" t="s">
        <v>340</v>
      </c>
      <c r="E44" s="407" t="s">
        <v>113</v>
      </c>
      <c r="F44" s="408" t="s">
        <v>341</v>
      </c>
      <c r="H44" s="210"/>
    </row>
    <row r="45" spans="1:8" ht="12.75">
      <c r="A45" s="210"/>
      <c r="B45" s="210"/>
      <c r="C45" s="210"/>
      <c r="D45" s="407" t="s">
        <v>342</v>
      </c>
      <c r="E45" s="407" t="s">
        <v>113</v>
      </c>
      <c r="F45" s="408" t="s">
        <v>343</v>
      </c>
      <c r="H45" s="210"/>
    </row>
    <row r="46" spans="1:8" ht="12.75">
      <c r="A46" s="210"/>
      <c r="B46" s="210"/>
      <c r="C46" s="210"/>
      <c r="D46" s="407" t="s">
        <v>344</v>
      </c>
      <c r="E46" s="407" t="s">
        <v>119</v>
      </c>
      <c r="F46" s="408" t="s">
        <v>213</v>
      </c>
      <c r="H46" s="210"/>
    </row>
    <row r="47" spans="1:8" ht="12.75">
      <c r="A47" s="210"/>
      <c r="B47" s="210"/>
      <c r="C47" s="210"/>
      <c r="D47" s="407" t="s">
        <v>514</v>
      </c>
      <c r="E47" s="407" t="s">
        <v>117</v>
      </c>
      <c r="F47" s="408" t="s">
        <v>515</v>
      </c>
      <c r="H47" s="210"/>
    </row>
    <row r="48" spans="1:8" ht="12.75">
      <c r="A48" s="210"/>
      <c r="B48" s="210"/>
      <c r="C48" s="210"/>
      <c r="D48" s="407" t="s">
        <v>516</v>
      </c>
      <c r="E48" s="407" t="s">
        <v>117</v>
      </c>
      <c r="F48" s="408" t="s">
        <v>517</v>
      </c>
      <c r="H48" s="210"/>
    </row>
    <row r="49" spans="1:8" ht="12.75">
      <c r="A49" s="210"/>
      <c r="B49" s="210"/>
      <c r="C49" s="210"/>
      <c r="D49" s="407" t="s">
        <v>345</v>
      </c>
      <c r="E49" s="407" t="s">
        <v>117</v>
      </c>
      <c r="F49" s="408" t="s">
        <v>346</v>
      </c>
      <c r="H49" s="210"/>
    </row>
    <row r="50" spans="1:8" ht="12.75">
      <c r="A50" s="210"/>
      <c r="B50" s="210"/>
      <c r="C50" s="210"/>
      <c r="D50" s="407" t="s">
        <v>347</v>
      </c>
      <c r="E50" s="407" t="s">
        <v>116</v>
      </c>
      <c r="F50" s="408" t="s">
        <v>348</v>
      </c>
      <c r="H50" s="210"/>
    </row>
    <row r="51" spans="1:8" ht="12.75">
      <c r="A51" s="210"/>
      <c r="B51" s="210"/>
      <c r="C51" s="210"/>
      <c r="D51" s="407" t="s">
        <v>349</v>
      </c>
      <c r="E51" s="407" t="s">
        <v>115</v>
      </c>
      <c r="F51" s="408" t="s">
        <v>214</v>
      </c>
      <c r="H51" s="210"/>
    </row>
    <row r="52" spans="1:8" ht="12.75">
      <c r="A52" s="210"/>
      <c r="B52" s="210"/>
      <c r="C52" s="210"/>
      <c r="D52" s="407" t="s">
        <v>350</v>
      </c>
      <c r="E52" s="407" t="s">
        <v>113</v>
      </c>
      <c r="F52" s="408" t="s">
        <v>351</v>
      </c>
      <c r="H52" s="210"/>
    </row>
    <row r="53" spans="1:8" ht="12.75">
      <c r="A53" s="210"/>
      <c r="B53" s="210"/>
      <c r="C53" s="210"/>
      <c r="D53" s="407" t="s">
        <v>352</v>
      </c>
      <c r="E53" s="407" t="s">
        <v>113</v>
      </c>
      <c r="F53" s="408" t="s">
        <v>353</v>
      </c>
      <c r="H53" s="210"/>
    </row>
    <row r="54" spans="1:8" ht="12.75">
      <c r="A54" s="210"/>
      <c r="B54" s="210"/>
      <c r="C54" s="210"/>
      <c r="D54" s="407" t="s">
        <v>354</v>
      </c>
      <c r="E54" s="407" t="s">
        <v>117</v>
      </c>
      <c r="F54" s="408" t="s">
        <v>215</v>
      </c>
      <c r="H54" s="210"/>
    </row>
    <row r="55" spans="1:8" ht="12.75">
      <c r="A55" s="210"/>
      <c r="B55" s="210"/>
      <c r="C55" s="210"/>
      <c r="D55" s="407" t="s">
        <v>518</v>
      </c>
      <c r="E55" s="407" t="s">
        <v>113</v>
      </c>
      <c r="F55" s="408" t="s">
        <v>519</v>
      </c>
      <c r="H55" s="210"/>
    </row>
    <row r="56" spans="1:8" ht="12.75">
      <c r="A56" s="210"/>
      <c r="B56" s="210"/>
      <c r="C56" s="210"/>
      <c r="D56" s="407" t="s">
        <v>520</v>
      </c>
      <c r="E56" s="407" t="s">
        <v>115</v>
      </c>
      <c r="F56" s="408" t="s">
        <v>521</v>
      </c>
      <c r="H56" s="210"/>
    </row>
    <row r="57" spans="1:8" ht="12.75">
      <c r="A57" s="210"/>
      <c r="B57" s="210"/>
      <c r="C57" s="210"/>
      <c r="D57" s="407" t="s">
        <v>522</v>
      </c>
      <c r="E57" s="407" t="s">
        <v>115</v>
      </c>
      <c r="F57" s="408" t="s">
        <v>523</v>
      </c>
      <c r="H57" s="210"/>
    </row>
    <row r="58" spans="1:8" ht="12.75">
      <c r="A58" s="210"/>
      <c r="B58" s="210"/>
      <c r="C58" s="210"/>
      <c r="D58" s="407" t="s">
        <v>355</v>
      </c>
      <c r="E58" s="407" t="s">
        <v>113</v>
      </c>
      <c r="F58" s="408" t="s">
        <v>279</v>
      </c>
      <c r="H58" s="210"/>
    </row>
    <row r="59" spans="1:8" ht="12.75">
      <c r="A59" s="210"/>
      <c r="B59" s="210"/>
      <c r="C59" s="210"/>
      <c r="D59" s="407" t="s">
        <v>356</v>
      </c>
      <c r="E59" s="407" t="s">
        <v>116</v>
      </c>
      <c r="F59" s="408" t="s">
        <v>260</v>
      </c>
      <c r="H59" s="210"/>
    </row>
    <row r="60" spans="1:8" ht="12.75">
      <c r="A60" s="210"/>
      <c r="B60" s="210"/>
      <c r="C60" s="210"/>
      <c r="D60" s="407" t="s">
        <v>524</v>
      </c>
      <c r="E60" s="407" t="s">
        <v>115</v>
      </c>
      <c r="F60" s="408" t="s">
        <v>525</v>
      </c>
      <c r="H60" s="210"/>
    </row>
    <row r="61" spans="1:8" ht="12.75">
      <c r="A61" s="210"/>
      <c r="B61" s="210"/>
      <c r="C61" s="210"/>
      <c r="D61" s="407" t="s">
        <v>526</v>
      </c>
      <c r="E61" s="407" t="s">
        <v>114</v>
      </c>
      <c r="F61" s="408" t="s">
        <v>527</v>
      </c>
      <c r="H61" s="210"/>
    </row>
    <row r="62" spans="1:8" ht="12.75">
      <c r="A62" s="210"/>
      <c r="B62" s="210"/>
      <c r="C62" s="210"/>
      <c r="D62" s="407" t="s">
        <v>357</v>
      </c>
      <c r="E62" s="407" t="s">
        <v>113</v>
      </c>
      <c r="F62" s="408" t="s">
        <v>280</v>
      </c>
      <c r="H62" s="210"/>
    </row>
    <row r="63" spans="1:8" ht="12.75">
      <c r="A63" s="210"/>
      <c r="B63" s="210"/>
      <c r="C63" s="210"/>
      <c r="D63" s="407" t="s">
        <v>358</v>
      </c>
      <c r="E63" s="407" t="s">
        <v>115</v>
      </c>
      <c r="F63" s="408" t="s">
        <v>281</v>
      </c>
      <c r="H63" s="210"/>
    </row>
    <row r="64" spans="1:8" ht="12.75">
      <c r="A64" s="210"/>
      <c r="B64" s="210"/>
      <c r="C64" s="210"/>
      <c r="D64" s="407" t="s">
        <v>359</v>
      </c>
      <c r="E64" s="407" t="s">
        <v>114</v>
      </c>
      <c r="F64" s="408" t="s">
        <v>216</v>
      </c>
      <c r="H64" s="210"/>
    </row>
    <row r="65" spans="1:8" ht="12.75">
      <c r="A65" s="210"/>
      <c r="B65" s="210"/>
      <c r="C65" s="210"/>
      <c r="D65" s="407" t="s">
        <v>360</v>
      </c>
      <c r="E65" s="407" t="s">
        <v>117</v>
      </c>
      <c r="F65" s="408" t="s">
        <v>361</v>
      </c>
      <c r="H65" s="210"/>
    </row>
    <row r="66" spans="1:8" ht="12.75">
      <c r="A66" s="210"/>
      <c r="B66" s="210"/>
      <c r="C66" s="210"/>
      <c r="D66" s="407" t="s">
        <v>528</v>
      </c>
      <c r="E66" s="407" t="s">
        <v>113</v>
      </c>
      <c r="F66" s="408" t="s">
        <v>529</v>
      </c>
      <c r="H66" s="210"/>
    </row>
    <row r="67" spans="1:8" ht="12.75">
      <c r="A67" s="210"/>
      <c r="B67" s="210"/>
      <c r="C67" s="210"/>
      <c r="D67" s="407" t="s">
        <v>530</v>
      </c>
      <c r="E67" s="407" t="s">
        <v>113</v>
      </c>
      <c r="F67" s="408" t="s">
        <v>531</v>
      </c>
      <c r="H67" s="210"/>
    </row>
    <row r="68" spans="1:8" ht="12.75">
      <c r="A68" s="210"/>
      <c r="B68" s="210"/>
      <c r="C68" s="210"/>
      <c r="D68" s="407" t="s">
        <v>532</v>
      </c>
      <c r="E68" s="407" t="s">
        <v>117</v>
      </c>
      <c r="F68" s="408" t="s">
        <v>533</v>
      </c>
      <c r="H68" s="210"/>
    </row>
    <row r="69" spans="1:8" ht="12.75">
      <c r="A69" s="210"/>
      <c r="B69" s="210"/>
      <c r="C69" s="210"/>
      <c r="D69" s="407" t="s">
        <v>534</v>
      </c>
      <c r="E69" s="407" t="s">
        <v>117</v>
      </c>
      <c r="F69" s="408" t="s">
        <v>535</v>
      </c>
      <c r="H69" s="210"/>
    </row>
    <row r="70" spans="1:8" ht="12.75">
      <c r="A70" s="210"/>
      <c r="B70" s="210"/>
      <c r="C70" s="210"/>
      <c r="D70" s="407" t="s">
        <v>536</v>
      </c>
      <c r="E70" s="407" t="s">
        <v>115</v>
      </c>
      <c r="F70" s="408" t="s">
        <v>537</v>
      </c>
      <c r="H70" s="210"/>
    </row>
    <row r="71" spans="1:8" ht="12.75">
      <c r="A71" s="210"/>
      <c r="B71" s="210"/>
      <c r="C71" s="210"/>
      <c r="D71" s="407" t="s">
        <v>538</v>
      </c>
      <c r="E71" s="407" t="s">
        <v>113</v>
      </c>
      <c r="F71" s="408" t="s">
        <v>539</v>
      </c>
      <c r="H71" s="210"/>
    </row>
    <row r="72" spans="1:8" ht="12.75">
      <c r="A72" s="210"/>
      <c r="B72" s="210"/>
      <c r="C72" s="210"/>
      <c r="D72" s="407" t="s">
        <v>362</v>
      </c>
      <c r="E72" s="407" t="s">
        <v>114</v>
      </c>
      <c r="F72" s="408" t="s">
        <v>217</v>
      </c>
      <c r="H72" s="210"/>
    </row>
    <row r="73" spans="1:8" ht="12.75">
      <c r="A73" s="210"/>
      <c r="B73" s="210"/>
      <c r="C73" s="210"/>
      <c r="D73" s="407" t="s">
        <v>540</v>
      </c>
      <c r="E73" s="407" t="s">
        <v>114</v>
      </c>
      <c r="F73" s="408" t="s">
        <v>541</v>
      </c>
      <c r="H73" s="210"/>
    </row>
    <row r="74" spans="1:8" ht="12.75">
      <c r="A74" s="210"/>
      <c r="B74" s="210"/>
      <c r="C74" s="210"/>
      <c r="D74" s="407" t="s">
        <v>363</v>
      </c>
      <c r="E74" s="407" t="s">
        <v>115</v>
      </c>
      <c r="F74" s="408" t="s">
        <v>282</v>
      </c>
      <c r="H74" s="210"/>
    </row>
    <row r="75" spans="1:8" ht="12.75">
      <c r="A75" s="210"/>
      <c r="B75" s="210"/>
      <c r="C75" s="210"/>
      <c r="D75" s="407" t="s">
        <v>364</v>
      </c>
      <c r="E75" s="407" t="s">
        <v>115</v>
      </c>
      <c r="F75" s="408" t="s">
        <v>218</v>
      </c>
      <c r="H75" s="210"/>
    </row>
    <row r="76" spans="1:8" ht="12.75">
      <c r="A76" s="210"/>
      <c r="B76" s="210"/>
      <c r="C76" s="210"/>
      <c r="D76" s="407" t="s">
        <v>365</v>
      </c>
      <c r="E76" s="407" t="s">
        <v>113</v>
      </c>
      <c r="F76" s="408" t="s">
        <v>219</v>
      </c>
      <c r="H76" s="210"/>
    </row>
    <row r="77" spans="1:8" ht="12.75">
      <c r="A77" s="210"/>
      <c r="B77" s="210"/>
      <c r="C77" s="210"/>
      <c r="D77" s="407" t="s">
        <v>366</v>
      </c>
      <c r="E77" s="407" t="s">
        <v>116</v>
      </c>
      <c r="F77" s="408" t="s">
        <v>367</v>
      </c>
      <c r="H77" s="210"/>
    </row>
    <row r="78" spans="1:8" ht="12.75">
      <c r="A78" s="210"/>
      <c r="B78" s="210"/>
      <c r="C78" s="210"/>
      <c r="D78" s="407" t="s">
        <v>542</v>
      </c>
      <c r="E78" s="407" t="s">
        <v>115</v>
      </c>
      <c r="F78" s="408" t="s">
        <v>543</v>
      </c>
      <c r="H78" s="210"/>
    </row>
    <row r="79" spans="1:8" ht="12.75">
      <c r="A79" s="210"/>
      <c r="B79" s="210"/>
      <c r="C79" s="210"/>
      <c r="D79" s="407" t="s">
        <v>368</v>
      </c>
      <c r="E79" s="407" t="s">
        <v>115</v>
      </c>
      <c r="F79" s="408" t="s">
        <v>220</v>
      </c>
      <c r="H79" s="210"/>
    </row>
    <row r="80" spans="1:8" ht="12.75">
      <c r="A80" s="210"/>
      <c r="B80" s="210"/>
      <c r="C80" s="210"/>
      <c r="D80" s="407" t="s">
        <v>544</v>
      </c>
      <c r="E80" s="407" t="s">
        <v>116</v>
      </c>
      <c r="F80" s="408" t="s">
        <v>545</v>
      </c>
      <c r="H80" s="210"/>
    </row>
    <row r="81" spans="1:8" ht="12.75">
      <c r="A81" s="210"/>
      <c r="B81" s="210"/>
      <c r="C81" s="210"/>
      <c r="D81" s="407" t="s">
        <v>546</v>
      </c>
      <c r="E81" s="407" t="s">
        <v>116</v>
      </c>
      <c r="F81" s="408" t="s">
        <v>547</v>
      </c>
      <c r="H81" s="210"/>
    </row>
    <row r="82" spans="1:8" ht="12.75">
      <c r="A82" s="210"/>
      <c r="B82" s="210"/>
      <c r="C82" s="210"/>
      <c r="D82" s="407" t="s">
        <v>548</v>
      </c>
      <c r="E82" s="407" t="s">
        <v>116</v>
      </c>
      <c r="F82" s="408" t="s">
        <v>549</v>
      </c>
      <c r="H82" s="210"/>
    </row>
    <row r="83" spans="1:8" ht="12.75">
      <c r="A83" s="210"/>
      <c r="B83" s="210"/>
      <c r="C83" s="210"/>
      <c r="D83" s="407" t="s">
        <v>550</v>
      </c>
      <c r="E83" s="407" t="s">
        <v>117</v>
      </c>
      <c r="F83" s="408" t="s">
        <v>551</v>
      </c>
      <c r="H83" s="210"/>
    </row>
    <row r="84" spans="1:8" ht="12.75">
      <c r="A84" s="210"/>
      <c r="B84" s="210"/>
      <c r="C84" s="210"/>
      <c r="D84" s="407" t="s">
        <v>552</v>
      </c>
      <c r="E84" s="407" t="s">
        <v>113</v>
      </c>
      <c r="F84" s="408" t="s">
        <v>553</v>
      </c>
      <c r="H84" s="210"/>
    </row>
    <row r="85" spans="1:8" ht="12.75">
      <c r="A85" s="210"/>
      <c r="B85" s="210"/>
      <c r="C85" s="210"/>
      <c r="D85" s="407" t="s">
        <v>554</v>
      </c>
      <c r="E85" s="407" t="s">
        <v>114</v>
      </c>
      <c r="F85" s="408" t="s">
        <v>555</v>
      </c>
      <c r="H85" s="210"/>
    </row>
    <row r="86" spans="1:8" ht="12.75">
      <c r="A86" s="210"/>
      <c r="B86" s="210"/>
      <c r="C86" s="210"/>
      <c r="D86" s="407" t="s">
        <v>556</v>
      </c>
      <c r="E86" s="407" t="s">
        <v>113</v>
      </c>
      <c r="F86" s="408" t="s">
        <v>557</v>
      </c>
      <c r="H86" s="210"/>
    </row>
    <row r="87" spans="1:8" ht="12.75">
      <c r="A87" s="210"/>
      <c r="B87" s="210"/>
      <c r="C87" s="210"/>
      <c r="D87" s="407" t="s">
        <v>558</v>
      </c>
      <c r="E87" s="407" t="s">
        <v>117</v>
      </c>
      <c r="F87" s="408" t="s">
        <v>559</v>
      </c>
      <c r="H87" s="210"/>
    </row>
    <row r="88" spans="1:8" ht="12.75">
      <c r="A88" s="210"/>
      <c r="B88" s="210"/>
      <c r="C88" s="210"/>
      <c r="D88" s="407" t="s">
        <v>369</v>
      </c>
      <c r="E88" s="407" t="s">
        <v>117</v>
      </c>
      <c r="F88" s="408" t="s">
        <v>261</v>
      </c>
      <c r="H88" s="210"/>
    </row>
    <row r="89" spans="1:8" ht="12.75">
      <c r="A89" s="210"/>
      <c r="B89" s="210"/>
      <c r="C89" s="210"/>
      <c r="D89" s="407" t="s">
        <v>370</v>
      </c>
      <c r="E89" s="407" t="s">
        <v>115</v>
      </c>
      <c r="F89" s="408" t="s">
        <v>371</v>
      </c>
      <c r="H89" s="210"/>
    </row>
    <row r="90" spans="1:8" ht="12.75">
      <c r="A90" s="210"/>
      <c r="B90" s="210"/>
      <c r="C90" s="210"/>
      <c r="D90" s="407" t="s">
        <v>372</v>
      </c>
      <c r="E90" s="407" t="s">
        <v>119</v>
      </c>
      <c r="F90" s="408" t="s">
        <v>221</v>
      </c>
      <c r="H90" s="210"/>
    </row>
    <row r="91" spans="1:8" ht="12.75">
      <c r="A91" s="210"/>
      <c r="B91" s="210"/>
      <c r="C91" s="210"/>
      <c r="D91" s="407" t="s">
        <v>373</v>
      </c>
      <c r="E91" s="407" t="s">
        <v>117</v>
      </c>
      <c r="F91" s="408" t="s">
        <v>374</v>
      </c>
      <c r="H91" s="210"/>
    </row>
    <row r="92" spans="1:8" ht="12.75">
      <c r="A92" s="210"/>
      <c r="B92" s="210"/>
      <c r="C92" s="210"/>
      <c r="D92" s="407" t="s">
        <v>375</v>
      </c>
      <c r="E92" s="407" t="s">
        <v>115</v>
      </c>
      <c r="F92" s="408" t="s">
        <v>222</v>
      </c>
      <c r="H92" s="210"/>
    </row>
    <row r="93" spans="1:8" ht="12.75">
      <c r="A93" s="210"/>
      <c r="B93" s="210"/>
      <c r="C93" s="210"/>
      <c r="D93" s="407" t="s">
        <v>560</v>
      </c>
      <c r="E93" s="407" t="s">
        <v>113</v>
      </c>
      <c r="F93" s="408" t="s">
        <v>561</v>
      </c>
      <c r="H93" s="210"/>
    </row>
    <row r="94" spans="1:8" ht="12.75">
      <c r="A94" s="210"/>
      <c r="B94" s="210"/>
      <c r="C94" s="210"/>
      <c r="D94" s="407" t="s">
        <v>376</v>
      </c>
      <c r="E94" s="407" t="s">
        <v>117</v>
      </c>
      <c r="F94" s="408" t="s">
        <v>223</v>
      </c>
      <c r="H94" s="210"/>
    </row>
    <row r="95" spans="1:8" ht="12.75">
      <c r="A95" s="210"/>
      <c r="B95" s="210"/>
      <c r="C95" s="210"/>
      <c r="D95" s="407" t="s">
        <v>377</v>
      </c>
      <c r="E95" s="407" t="s">
        <v>113</v>
      </c>
      <c r="F95" s="408" t="s">
        <v>224</v>
      </c>
      <c r="H95" s="210"/>
    </row>
    <row r="96" spans="1:8" ht="12.75">
      <c r="A96" s="210"/>
      <c r="B96" s="210"/>
      <c r="C96" s="210"/>
      <c r="D96" s="407" t="s">
        <v>378</v>
      </c>
      <c r="E96" s="407" t="s">
        <v>117</v>
      </c>
      <c r="F96" s="408" t="s">
        <v>379</v>
      </c>
      <c r="H96" s="210"/>
    </row>
    <row r="97" spans="1:8" ht="12.75">
      <c r="A97" s="210"/>
      <c r="B97" s="210"/>
      <c r="C97" s="210"/>
      <c r="D97" s="407" t="s">
        <v>380</v>
      </c>
      <c r="E97" s="407" t="s">
        <v>116</v>
      </c>
      <c r="F97" s="408" t="s">
        <v>381</v>
      </c>
      <c r="H97" s="210"/>
    </row>
    <row r="98" spans="1:8" ht="12.75">
      <c r="A98" s="210"/>
      <c r="B98" s="210"/>
      <c r="C98" s="210"/>
      <c r="D98" s="407" t="s">
        <v>382</v>
      </c>
      <c r="E98" s="407" t="s">
        <v>115</v>
      </c>
      <c r="F98" s="408" t="s">
        <v>271</v>
      </c>
      <c r="H98" s="210"/>
    </row>
    <row r="99" spans="1:8" ht="12.75">
      <c r="A99" s="210"/>
      <c r="B99" s="210"/>
      <c r="C99" s="210"/>
      <c r="D99" s="407" t="s">
        <v>562</v>
      </c>
      <c r="E99" s="407" t="s">
        <v>115</v>
      </c>
      <c r="F99" s="408" t="s">
        <v>563</v>
      </c>
      <c r="H99" s="210"/>
    </row>
    <row r="100" spans="1:8" ht="12.75">
      <c r="A100" s="210"/>
      <c r="B100" s="210"/>
      <c r="C100" s="210"/>
      <c r="D100" s="407" t="s">
        <v>383</v>
      </c>
      <c r="E100" s="407" t="s">
        <v>113</v>
      </c>
      <c r="F100" s="408" t="s">
        <v>283</v>
      </c>
      <c r="H100" s="210"/>
    </row>
    <row r="101" spans="1:8" ht="12.75">
      <c r="A101" s="210"/>
      <c r="B101" s="210"/>
      <c r="C101" s="210"/>
      <c r="D101" s="407" t="s">
        <v>384</v>
      </c>
      <c r="E101" s="407" t="s">
        <v>115</v>
      </c>
      <c r="F101" s="408" t="s">
        <v>284</v>
      </c>
      <c r="H101" s="210"/>
    </row>
    <row r="102" spans="1:8" ht="12.75">
      <c r="A102" s="210"/>
      <c r="B102" s="210"/>
      <c r="C102" s="210"/>
      <c r="D102" s="407" t="s">
        <v>385</v>
      </c>
      <c r="E102" s="407" t="s">
        <v>117</v>
      </c>
      <c r="F102" s="408" t="s">
        <v>386</v>
      </c>
      <c r="H102" s="210"/>
    </row>
    <row r="103" spans="1:8" ht="12.75">
      <c r="A103" s="210"/>
      <c r="B103" s="210"/>
      <c r="C103" s="210"/>
      <c r="D103" s="407" t="s">
        <v>387</v>
      </c>
      <c r="E103" s="407" t="s">
        <v>116</v>
      </c>
      <c r="F103" s="408" t="s">
        <v>225</v>
      </c>
      <c r="H103" s="210"/>
    </row>
    <row r="104" spans="1:8" ht="12.75">
      <c r="A104" s="210"/>
      <c r="B104" s="210"/>
      <c r="C104" s="210"/>
      <c r="D104" s="407" t="s">
        <v>388</v>
      </c>
      <c r="E104" s="407" t="s">
        <v>116</v>
      </c>
      <c r="F104" s="408" t="s">
        <v>226</v>
      </c>
      <c r="H104" s="210"/>
    </row>
    <row r="105" spans="1:8" ht="12.75">
      <c r="A105" s="210"/>
      <c r="B105" s="210"/>
      <c r="C105" s="210"/>
      <c r="D105" s="407" t="s">
        <v>389</v>
      </c>
      <c r="E105" s="407" t="s">
        <v>117</v>
      </c>
      <c r="F105" s="408" t="s">
        <v>227</v>
      </c>
      <c r="H105" s="210"/>
    </row>
    <row r="106" spans="1:8" ht="12.75">
      <c r="A106" s="210"/>
      <c r="B106" s="210"/>
      <c r="C106" s="210"/>
      <c r="D106" s="407" t="s">
        <v>564</v>
      </c>
      <c r="E106" s="407" t="s">
        <v>113</v>
      </c>
      <c r="F106" s="408" t="s">
        <v>565</v>
      </c>
      <c r="H106" s="210"/>
    </row>
    <row r="107" spans="1:8" ht="12.75">
      <c r="A107" s="210"/>
      <c r="B107" s="210"/>
      <c r="C107" s="210"/>
      <c r="D107" s="407" t="s">
        <v>566</v>
      </c>
      <c r="E107" s="407" t="s">
        <v>115</v>
      </c>
      <c r="F107" s="408" t="s">
        <v>567</v>
      </c>
      <c r="H107" s="210"/>
    </row>
    <row r="108" spans="1:8" ht="12.75">
      <c r="A108" s="210"/>
      <c r="B108" s="210"/>
      <c r="C108" s="210"/>
      <c r="D108" s="407" t="s">
        <v>390</v>
      </c>
      <c r="E108" s="407" t="s">
        <v>115</v>
      </c>
      <c r="F108" s="408" t="s">
        <v>228</v>
      </c>
      <c r="H108" s="210"/>
    </row>
    <row r="109" spans="1:8" ht="12.75">
      <c r="A109" s="210"/>
      <c r="B109" s="210"/>
      <c r="C109" s="210"/>
      <c r="D109" s="407" t="s">
        <v>391</v>
      </c>
      <c r="E109" s="407" t="s">
        <v>115</v>
      </c>
      <c r="F109" s="408" t="s">
        <v>392</v>
      </c>
      <c r="H109" s="210"/>
    </row>
    <row r="110" spans="1:8" ht="12.75">
      <c r="A110" s="210"/>
      <c r="B110" s="210"/>
      <c r="C110" s="210"/>
      <c r="D110" s="407" t="s">
        <v>393</v>
      </c>
      <c r="E110" s="407" t="s">
        <v>114</v>
      </c>
      <c r="F110" s="408" t="s">
        <v>229</v>
      </c>
      <c r="H110" s="210"/>
    </row>
    <row r="111" spans="1:8" ht="12.75">
      <c r="A111" s="210"/>
      <c r="B111" s="210"/>
      <c r="C111" s="210"/>
      <c r="D111" s="407" t="s">
        <v>394</v>
      </c>
      <c r="E111" s="407" t="s">
        <v>116</v>
      </c>
      <c r="F111" s="408" t="s">
        <v>285</v>
      </c>
      <c r="H111" s="210"/>
    </row>
    <row r="112" spans="1:8" ht="12.75">
      <c r="A112" s="210"/>
      <c r="B112" s="210"/>
      <c r="C112" s="210"/>
      <c r="D112" s="407" t="s">
        <v>568</v>
      </c>
      <c r="E112" s="407" t="s">
        <v>116</v>
      </c>
      <c r="F112" s="408" t="s">
        <v>569</v>
      </c>
      <c r="H112" s="210"/>
    </row>
    <row r="113" spans="1:8" ht="12.75">
      <c r="A113" s="210"/>
      <c r="B113" s="210"/>
      <c r="C113" s="210"/>
      <c r="D113" s="407" t="s">
        <v>570</v>
      </c>
      <c r="E113" s="407" t="s">
        <v>117</v>
      </c>
      <c r="F113" s="408" t="s">
        <v>571</v>
      </c>
      <c r="H113" s="210"/>
    </row>
    <row r="114" spans="1:8" ht="12.75">
      <c r="A114" s="210"/>
      <c r="B114" s="210"/>
      <c r="C114" s="210"/>
      <c r="D114" s="407" t="s">
        <v>395</v>
      </c>
      <c r="E114" s="407" t="s">
        <v>118</v>
      </c>
      <c r="F114" s="408" t="s">
        <v>396</v>
      </c>
      <c r="H114" s="210"/>
    </row>
    <row r="115" spans="1:8" ht="12.75">
      <c r="A115" s="210"/>
      <c r="B115" s="210"/>
      <c r="C115" s="210"/>
      <c r="D115" s="407" t="s">
        <v>397</v>
      </c>
      <c r="E115" s="407" t="s">
        <v>117</v>
      </c>
      <c r="F115" s="408" t="s">
        <v>398</v>
      </c>
      <c r="H115" s="210"/>
    </row>
    <row r="116" spans="1:8" ht="12.75">
      <c r="A116" s="210"/>
      <c r="B116" s="210"/>
      <c r="C116" s="210"/>
      <c r="D116" s="407" t="s">
        <v>399</v>
      </c>
      <c r="E116" s="407" t="s">
        <v>119</v>
      </c>
      <c r="F116" s="408" t="s">
        <v>400</v>
      </c>
      <c r="H116" s="210"/>
    </row>
    <row r="117" spans="1:8" ht="12.75">
      <c r="A117" s="210"/>
      <c r="B117" s="210"/>
      <c r="C117" s="210"/>
      <c r="D117" s="407" t="s">
        <v>401</v>
      </c>
      <c r="E117" s="407" t="s">
        <v>117</v>
      </c>
      <c r="F117" s="408" t="s">
        <v>402</v>
      </c>
      <c r="H117" s="210"/>
    </row>
    <row r="118" spans="1:8" ht="12.75">
      <c r="A118" s="210"/>
      <c r="B118" s="210"/>
      <c r="C118" s="210"/>
      <c r="D118" s="407" t="s">
        <v>403</v>
      </c>
      <c r="E118" s="407" t="s">
        <v>118</v>
      </c>
      <c r="F118" s="408" t="s">
        <v>404</v>
      </c>
      <c r="H118" s="210"/>
    </row>
    <row r="119" spans="1:8" ht="12.75">
      <c r="A119" s="210"/>
      <c r="B119" s="210"/>
      <c r="C119" s="210"/>
      <c r="D119" s="407" t="s">
        <v>405</v>
      </c>
      <c r="E119" s="407" t="s">
        <v>113</v>
      </c>
      <c r="F119" s="408" t="s">
        <v>286</v>
      </c>
      <c r="H119" s="210"/>
    </row>
    <row r="120" spans="1:8" ht="12.75">
      <c r="A120" s="210"/>
      <c r="B120" s="210"/>
      <c r="C120" s="210"/>
      <c r="D120" s="407" t="s">
        <v>406</v>
      </c>
      <c r="E120" s="407" t="s">
        <v>114</v>
      </c>
      <c r="F120" s="408" t="s">
        <v>230</v>
      </c>
      <c r="H120" s="210"/>
    </row>
    <row r="121" spans="1:8" ht="12.75">
      <c r="A121" s="210"/>
      <c r="B121" s="210"/>
      <c r="C121" s="210"/>
      <c r="D121" s="407" t="s">
        <v>407</v>
      </c>
      <c r="E121" s="407" t="s">
        <v>119</v>
      </c>
      <c r="F121" s="408" t="s">
        <v>231</v>
      </c>
      <c r="H121" s="210"/>
    </row>
    <row r="122" spans="1:8" ht="12.75">
      <c r="A122" s="210"/>
      <c r="B122" s="210"/>
      <c r="C122" s="210"/>
      <c r="D122" s="407" t="s">
        <v>572</v>
      </c>
      <c r="E122" s="407" t="s">
        <v>113</v>
      </c>
      <c r="F122" s="408" t="s">
        <v>573</v>
      </c>
      <c r="H122" s="210"/>
    </row>
    <row r="123" spans="1:8" ht="12.75">
      <c r="A123" s="210"/>
      <c r="B123" s="210"/>
      <c r="C123" s="210"/>
      <c r="D123" s="407" t="s">
        <v>408</v>
      </c>
      <c r="E123" s="407" t="s">
        <v>117</v>
      </c>
      <c r="F123" s="408" t="s">
        <v>409</v>
      </c>
      <c r="H123" s="210"/>
    </row>
    <row r="124" spans="1:8" ht="12.75">
      <c r="A124" s="210"/>
      <c r="B124" s="210"/>
      <c r="C124" s="210"/>
      <c r="D124" s="407" t="s">
        <v>410</v>
      </c>
      <c r="E124" s="407" t="s">
        <v>117</v>
      </c>
      <c r="F124" s="408" t="s">
        <v>287</v>
      </c>
      <c r="H124" s="210"/>
    </row>
    <row r="125" spans="1:8" ht="12.75">
      <c r="A125" s="210"/>
      <c r="B125" s="210"/>
      <c r="C125" s="210"/>
      <c r="D125" s="407" t="s">
        <v>411</v>
      </c>
      <c r="E125" s="407" t="s">
        <v>118</v>
      </c>
      <c r="F125" s="408" t="s">
        <v>412</v>
      </c>
      <c r="H125" s="210"/>
    </row>
    <row r="126" spans="1:8" ht="12.75">
      <c r="A126" s="210"/>
      <c r="B126" s="210"/>
      <c r="C126" s="210"/>
      <c r="D126" s="407" t="s">
        <v>413</v>
      </c>
      <c r="E126" s="407" t="s">
        <v>113</v>
      </c>
      <c r="F126" s="408" t="s">
        <v>288</v>
      </c>
      <c r="H126" s="210"/>
    </row>
    <row r="127" spans="1:8" ht="12.75">
      <c r="A127" s="210"/>
      <c r="B127" s="210"/>
      <c r="C127" s="210"/>
      <c r="D127" s="407" t="s">
        <v>414</v>
      </c>
      <c r="E127" s="407" t="s">
        <v>115</v>
      </c>
      <c r="F127" s="408" t="s">
        <v>232</v>
      </c>
      <c r="H127" s="210"/>
    </row>
    <row r="128" spans="1:8" ht="12.75">
      <c r="A128" s="210"/>
      <c r="B128" s="210"/>
      <c r="C128" s="210"/>
      <c r="D128" s="407" t="s">
        <v>415</v>
      </c>
      <c r="E128" s="407" t="s">
        <v>119</v>
      </c>
      <c r="F128" s="408" t="s">
        <v>233</v>
      </c>
      <c r="H128" s="210"/>
    </row>
    <row r="129" spans="1:8" ht="12.75">
      <c r="A129" s="210"/>
      <c r="B129" s="210"/>
      <c r="C129" s="210"/>
      <c r="D129" s="407" t="s">
        <v>416</v>
      </c>
      <c r="E129" s="407" t="s">
        <v>117</v>
      </c>
      <c r="F129" s="408" t="s">
        <v>234</v>
      </c>
      <c r="H129" s="210"/>
    </row>
    <row r="130" spans="1:8" ht="12.75">
      <c r="A130" s="210"/>
      <c r="B130" s="210"/>
      <c r="C130" s="210"/>
      <c r="D130" s="407" t="s">
        <v>417</v>
      </c>
      <c r="E130" s="407" t="s">
        <v>117</v>
      </c>
      <c r="F130" s="408" t="s">
        <v>272</v>
      </c>
      <c r="H130" s="210"/>
    </row>
    <row r="131" spans="1:8" ht="12.75">
      <c r="A131" s="210"/>
      <c r="B131" s="210"/>
      <c r="C131" s="210"/>
      <c r="D131" s="407" t="s">
        <v>418</v>
      </c>
      <c r="E131" s="407" t="s">
        <v>114</v>
      </c>
      <c r="F131" s="408" t="s">
        <v>419</v>
      </c>
      <c r="H131" s="210"/>
    </row>
    <row r="132" spans="1:8" ht="12.75">
      <c r="A132" s="210"/>
      <c r="B132" s="210"/>
      <c r="C132" s="210"/>
      <c r="D132" s="407" t="s">
        <v>574</v>
      </c>
      <c r="E132" s="407" t="s">
        <v>116</v>
      </c>
      <c r="F132" s="408" t="s">
        <v>575</v>
      </c>
      <c r="H132" s="210"/>
    </row>
    <row r="133" spans="1:8" ht="12.75">
      <c r="A133" s="210"/>
      <c r="B133" s="210"/>
      <c r="C133" s="210"/>
      <c r="D133" s="407" t="s">
        <v>420</v>
      </c>
      <c r="E133" s="407" t="s">
        <v>113</v>
      </c>
      <c r="F133" s="408" t="s">
        <v>273</v>
      </c>
      <c r="H133" s="210"/>
    </row>
    <row r="134" spans="1:8" ht="12.75">
      <c r="A134" s="210"/>
      <c r="B134" s="210"/>
      <c r="C134" s="210"/>
      <c r="D134" s="407" t="s">
        <v>421</v>
      </c>
      <c r="E134" s="407" t="s">
        <v>113</v>
      </c>
      <c r="F134" s="408" t="s">
        <v>289</v>
      </c>
      <c r="H134" s="210"/>
    </row>
    <row r="135" spans="1:8" ht="12.75">
      <c r="A135" s="210"/>
      <c r="B135" s="210"/>
      <c r="C135" s="210"/>
      <c r="D135" s="407" t="s">
        <v>422</v>
      </c>
      <c r="E135" s="407" t="s">
        <v>114</v>
      </c>
      <c r="F135" s="408" t="s">
        <v>290</v>
      </c>
      <c r="H135" s="210"/>
    </row>
    <row r="136" spans="1:8" ht="12.75">
      <c r="A136" s="210"/>
      <c r="B136" s="210"/>
      <c r="C136" s="210"/>
      <c r="D136" s="407" t="s">
        <v>576</v>
      </c>
      <c r="E136" s="407" t="s">
        <v>113</v>
      </c>
      <c r="F136" s="408" t="s">
        <v>577</v>
      </c>
      <c r="H136" s="210"/>
    </row>
    <row r="137" spans="4:6" ht="12.75">
      <c r="D137" s="407" t="s">
        <v>423</v>
      </c>
      <c r="E137" s="407" t="s">
        <v>114</v>
      </c>
      <c r="F137" s="408" t="s">
        <v>235</v>
      </c>
    </row>
    <row r="138" spans="4:6" ht="12.75">
      <c r="D138" s="407" t="s">
        <v>424</v>
      </c>
      <c r="E138" s="407" t="s">
        <v>113</v>
      </c>
      <c r="F138" s="408" t="s">
        <v>291</v>
      </c>
    </row>
    <row r="139" spans="4:6" ht="12.75">
      <c r="D139" s="407" t="s">
        <v>425</v>
      </c>
      <c r="E139" s="407" t="s">
        <v>115</v>
      </c>
      <c r="F139" s="408" t="s">
        <v>426</v>
      </c>
    </row>
    <row r="140" spans="4:6" ht="12.75">
      <c r="D140" s="407" t="s">
        <v>578</v>
      </c>
      <c r="E140" s="407" t="s">
        <v>117</v>
      </c>
      <c r="F140" s="408" t="s">
        <v>579</v>
      </c>
    </row>
    <row r="141" spans="4:6" ht="12.75">
      <c r="D141" s="407" t="s">
        <v>427</v>
      </c>
      <c r="E141" s="407" t="s">
        <v>116</v>
      </c>
      <c r="F141" s="408" t="s">
        <v>428</v>
      </c>
    </row>
    <row r="142" spans="4:6" ht="12.75">
      <c r="D142" s="407" t="s">
        <v>429</v>
      </c>
      <c r="E142" s="407" t="s">
        <v>117</v>
      </c>
      <c r="F142" s="408" t="s">
        <v>236</v>
      </c>
    </row>
    <row r="143" spans="4:6" ht="12.75">
      <c r="D143" s="407" t="s">
        <v>430</v>
      </c>
      <c r="E143" s="407" t="s">
        <v>114</v>
      </c>
      <c r="F143" s="408" t="s">
        <v>237</v>
      </c>
    </row>
    <row r="144" spans="4:6" ht="12.75">
      <c r="D144" s="407" t="s">
        <v>431</v>
      </c>
      <c r="E144" s="407" t="s">
        <v>119</v>
      </c>
      <c r="F144" s="408" t="s">
        <v>238</v>
      </c>
    </row>
    <row r="145" spans="4:6" ht="12.75">
      <c r="D145" s="407" t="s">
        <v>580</v>
      </c>
      <c r="E145" s="407" t="s">
        <v>117</v>
      </c>
      <c r="F145" s="408" t="s">
        <v>581</v>
      </c>
    </row>
    <row r="146" spans="4:6" ht="12.75">
      <c r="D146" s="407" t="s">
        <v>432</v>
      </c>
      <c r="E146" s="407" t="s">
        <v>114</v>
      </c>
      <c r="F146" s="408" t="s">
        <v>433</v>
      </c>
    </row>
    <row r="147" spans="4:6" ht="12.75">
      <c r="D147" s="407" t="s">
        <v>434</v>
      </c>
      <c r="E147" s="407" t="s">
        <v>113</v>
      </c>
      <c r="F147" s="408" t="s">
        <v>274</v>
      </c>
    </row>
    <row r="148" spans="4:6" ht="12.75">
      <c r="D148" s="407" t="s">
        <v>435</v>
      </c>
      <c r="E148" s="407" t="s">
        <v>114</v>
      </c>
      <c r="F148" s="408" t="s">
        <v>436</v>
      </c>
    </row>
    <row r="149" spans="4:6" ht="12.75">
      <c r="D149" s="407" t="s">
        <v>582</v>
      </c>
      <c r="E149" s="407" t="s">
        <v>113</v>
      </c>
      <c r="F149" s="408" t="s">
        <v>583</v>
      </c>
    </row>
    <row r="150" spans="4:6" ht="12.75">
      <c r="D150" s="407" t="s">
        <v>584</v>
      </c>
      <c r="E150" s="407" t="s">
        <v>115</v>
      </c>
      <c r="F150" s="408" t="s">
        <v>585</v>
      </c>
    </row>
    <row r="151" spans="4:6" ht="12.75">
      <c r="D151" s="407" t="s">
        <v>586</v>
      </c>
      <c r="E151" s="407" t="s">
        <v>118</v>
      </c>
      <c r="F151" s="408" t="s">
        <v>587</v>
      </c>
    </row>
    <row r="152" spans="4:6" ht="12.75">
      <c r="D152" s="407" t="s">
        <v>437</v>
      </c>
      <c r="E152" s="407" t="s">
        <v>115</v>
      </c>
      <c r="F152" s="408" t="s">
        <v>438</v>
      </c>
    </row>
    <row r="153" spans="4:6" ht="12.75">
      <c r="D153" s="407" t="s">
        <v>588</v>
      </c>
      <c r="E153" s="407" t="s">
        <v>116</v>
      </c>
      <c r="F153" s="408" t="s">
        <v>589</v>
      </c>
    </row>
    <row r="154" spans="4:6" ht="12.75">
      <c r="D154" s="407" t="s">
        <v>590</v>
      </c>
      <c r="E154" s="407" t="s">
        <v>115</v>
      </c>
      <c r="F154" s="408" t="s">
        <v>591</v>
      </c>
    </row>
    <row r="155" spans="4:6" ht="12.75">
      <c r="D155" s="407" t="s">
        <v>439</v>
      </c>
      <c r="E155" s="407" t="s">
        <v>114</v>
      </c>
      <c r="F155" s="408" t="s">
        <v>239</v>
      </c>
    </row>
    <row r="156" spans="4:6" ht="12.75">
      <c r="D156" s="407" t="s">
        <v>440</v>
      </c>
      <c r="E156" s="407" t="s">
        <v>117</v>
      </c>
      <c r="F156" s="408" t="s">
        <v>240</v>
      </c>
    </row>
    <row r="157" spans="4:6" ht="12.75">
      <c r="D157" s="407" t="s">
        <v>441</v>
      </c>
      <c r="E157" s="407" t="s">
        <v>113</v>
      </c>
      <c r="F157" s="408" t="s">
        <v>442</v>
      </c>
    </row>
    <row r="158" spans="4:6" ht="12.75">
      <c r="D158" s="407" t="s">
        <v>592</v>
      </c>
      <c r="E158" s="407" t="s">
        <v>115</v>
      </c>
      <c r="F158" s="408" t="s">
        <v>593</v>
      </c>
    </row>
    <row r="159" spans="4:6" ht="12.75">
      <c r="D159" s="407" t="s">
        <v>443</v>
      </c>
      <c r="E159" s="407" t="s">
        <v>114</v>
      </c>
      <c r="F159" s="408" t="s">
        <v>241</v>
      </c>
    </row>
    <row r="160" spans="4:6" ht="12.75">
      <c r="D160" s="407" t="s">
        <v>594</v>
      </c>
      <c r="E160" s="407" t="s">
        <v>117</v>
      </c>
      <c r="F160" s="408" t="s">
        <v>595</v>
      </c>
    </row>
    <row r="161" spans="4:6" ht="12.75">
      <c r="D161" s="407" t="s">
        <v>596</v>
      </c>
      <c r="E161" s="407" t="s">
        <v>113</v>
      </c>
      <c r="F161" s="408" t="s">
        <v>597</v>
      </c>
    </row>
    <row r="162" spans="4:6" ht="12.75">
      <c r="D162" s="407" t="s">
        <v>444</v>
      </c>
      <c r="E162" s="407" t="s">
        <v>113</v>
      </c>
      <c r="F162" s="408" t="s">
        <v>242</v>
      </c>
    </row>
    <row r="163" spans="4:6" ht="12.75">
      <c r="D163" s="407" t="s">
        <v>445</v>
      </c>
      <c r="E163" s="407" t="s">
        <v>115</v>
      </c>
      <c r="F163" s="408" t="s">
        <v>446</v>
      </c>
    </row>
    <row r="164" spans="4:6" ht="12.75">
      <c r="D164" s="407" t="s">
        <v>447</v>
      </c>
      <c r="E164" s="407" t="s">
        <v>116</v>
      </c>
      <c r="F164" s="408" t="s">
        <v>243</v>
      </c>
    </row>
    <row r="165" spans="4:6" ht="12.75">
      <c r="D165" s="407" t="s">
        <v>598</v>
      </c>
      <c r="E165" s="407" t="s">
        <v>114</v>
      </c>
      <c r="F165" s="408" t="s">
        <v>599</v>
      </c>
    </row>
    <row r="166" spans="4:6" ht="12.75">
      <c r="D166" s="407" t="s">
        <v>448</v>
      </c>
      <c r="E166" s="407" t="s">
        <v>113</v>
      </c>
      <c r="F166" s="408" t="s">
        <v>292</v>
      </c>
    </row>
    <row r="167" spans="4:6" ht="12.75">
      <c r="D167" s="407" t="s">
        <v>600</v>
      </c>
      <c r="E167" s="407" t="s">
        <v>114</v>
      </c>
      <c r="F167" s="408" t="s">
        <v>601</v>
      </c>
    </row>
    <row r="168" spans="4:6" ht="12.75">
      <c r="D168" s="407" t="s">
        <v>602</v>
      </c>
      <c r="E168" s="407" t="s">
        <v>114</v>
      </c>
      <c r="F168" s="408" t="s">
        <v>603</v>
      </c>
    </row>
    <row r="169" spans="4:6" ht="12.75">
      <c r="D169" s="407" t="s">
        <v>604</v>
      </c>
      <c r="E169" s="407" t="s">
        <v>115</v>
      </c>
      <c r="F169" s="408" t="s">
        <v>605</v>
      </c>
    </row>
    <row r="170" spans="4:6" ht="12.75">
      <c r="D170" s="407" t="s">
        <v>449</v>
      </c>
      <c r="E170" s="407" t="s">
        <v>119</v>
      </c>
      <c r="F170" s="408" t="s">
        <v>244</v>
      </c>
    </row>
    <row r="171" spans="4:6" ht="12.75">
      <c r="D171" s="407" t="s">
        <v>450</v>
      </c>
      <c r="E171" s="407" t="s">
        <v>114</v>
      </c>
      <c r="F171" s="408" t="s">
        <v>451</v>
      </c>
    </row>
    <row r="172" spans="4:6" ht="12.75">
      <c r="D172" s="407" t="s">
        <v>452</v>
      </c>
      <c r="E172" s="407" t="s">
        <v>113</v>
      </c>
      <c r="F172" s="408" t="s">
        <v>245</v>
      </c>
    </row>
    <row r="173" spans="4:6" ht="12.75">
      <c r="D173" s="407" t="s">
        <v>453</v>
      </c>
      <c r="E173" s="407" t="s">
        <v>113</v>
      </c>
      <c r="F173" s="408" t="s">
        <v>293</v>
      </c>
    </row>
    <row r="174" spans="4:6" ht="12.75">
      <c r="D174" s="407" t="s">
        <v>606</v>
      </c>
      <c r="E174" s="407" t="s">
        <v>116</v>
      </c>
      <c r="F174" s="408" t="s">
        <v>607</v>
      </c>
    </row>
    <row r="175" spans="4:6" ht="12.75">
      <c r="D175" s="407" t="s">
        <v>454</v>
      </c>
      <c r="E175" s="407" t="s">
        <v>117</v>
      </c>
      <c r="F175" s="408" t="s">
        <v>294</v>
      </c>
    </row>
    <row r="176" spans="4:6" ht="12.75">
      <c r="D176" s="407" t="s">
        <v>455</v>
      </c>
      <c r="E176" s="407" t="s">
        <v>117</v>
      </c>
      <c r="F176" s="408" t="s">
        <v>246</v>
      </c>
    </row>
    <row r="177" spans="4:6" ht="12.75">
      <c r="D177" s="407" t="s">
        <v>608</v>
      </c>
      <c r="E177" s="407" t="s">
        <v>113</v>
      </c>
      <c r="F177" s="408" t="s">
        <v>609</v>
      </c>
    </row>
    <row r="178" spans="4:6" ht="12.75">
      <c r="D178" s="407" t="s">
        <v>456</v>
      </c>
      <c r="E178" s="407" t="s">
        <v>117</v>
      </c>
      <c r="F178" s="408" t="s">
        <v>457</v>
      </c>
    </row>
    <row r="179" spans="4:6" ht="12.75">
      <c r="D179" s="407" t="s">
        <v>610</v>
      </c>
      <c r="E179" s="407" t="s">
        <v>115</v>
      </c>
      <c r="F179" s="408" t="s">
        <v>611</v>
      </c>
    </row>
    <row r="180" spans="4:6" ht="12.75">
      <c r="D180" s="407" t="s">
        <v>458</v>
      </c>
      <c r="E180" s="407" t="s">
        <v>114</v>
      </c>
      <c r="F180" s="408" t="s">
        <v>247</v>
      </c>
    </row>
    <row r="181" spans="4:6" ht="12.75">
      <c r="D181" s="407" t="s">
        <v>459</v>
      </c>
      <c r="E181" s="407" t="s">
        <v>116</v>
      </c>
      <c r="F181" s="408" t="s">
        <v>460</v>
      </c>
    </row>
    <row r="182" spans="4:6" ht="12.75">
      <c r="D182" s="407" t="s">
        <v>461</v>
      </c>
      <c r="E182" s="407" t="s">
        <v>117</v>
      </c>
      <c r="F182" s="408" t="s">
        <v>462</v>
      </c>
    </row>
    <row r="183" spans="4:6" ht="12.75">
      <c r="D183" s="407" t="s">
        <v>463</v>
      </c>
      <c r="E183" s="407" t="s">
        <v>118</v>
      </c>
      <c r="F183" s="408" t="s">
        <v>464</v>
      </c>
    </row>
    <row r="184" spans="4:6" ht="12.75">
      <c r="D184" s="407" t="s">
        <v>465</v>
      </c>
      <c r="E184" s="407" t="s">
        <v>115</v>
      </c>
      <c r="F184" s="408" t="s">
        <v>248</v>
      </c>
    </row>
    <row r="185" spans="4:6" ht="12.75">
      <c r="D185" s="407" t="s">
        <v>466</v>
      </c>
      <c r="E185" s="407" t="s">
        <v>114</v>
      </c>
      <c r="F185" s="408" t="s">
        <v>249</v>
      </c>
    </row>
    <row r="186" spans="4:6" ht="12.75">
      <c r="D186" s="407" t="s">
        <v>612</v>
      </c>
      <c r="E186" s="407" t="s">
        <v>113</v>
      </c>
      <c r="F186" s="408" t="s">
        <v>613</v>
      </c>
    </row>
    <row r="187" spans="4:6" ht="12.75">
      <c r="D187" s="407" t="s">
        <v>467</v>
      </c>
      <c r="E187" s="407" t="s">
        <v>113</v>
      </c>
      <c r="F187" s="408" t="s">
        <v>468</v>
      </c>
    </row>
    <row r="188" spans="4:6" ht="12.75">
      <c r="D188" s="407" t="s">
        <v>469</v>
      </c>
      <c r="E188" s="407" t="s">
        <v>117</v>
      </c>
      <c r="F188" s="408" t="s">
        <v>295</v>
      </c>
    </row>
    <row r="189" spans="4:6" ht="12.75">
      <c r="D189" s="407" t="s">
        <v>470</v>
      </c>
      <c r="E189" s="407" t="s">
        <v>113</v>
      </c>
      <c r="F189" s="408" t="s">
        <v>250</v>
      </c>
    </row>
    <row r="190" spans="4:6" ht="12.75">
      <c r="D190" s="407" t="s">
        <v>471</v>
      </c>
      <c r="E190" s="407" t="s">
        <v>114</v>
      </c>
      <c r="F190" s="408" t="s">
        <v>472</v>
      </c>
    </row>
    <row r="191" spans="4:6" ht="12.75">
      <c r="D191" s="407" t="s">
        <v>473</v>
      </c>
      <c r="E191" s="407" t="s">
        <v>114</v>
      </c>
      <c r="F191" s="408" t="s">
        <v>251</v>
      </c>
    </row>
    <row r="192" spans="4:6" ht="12.75">
      <c r="D192" s="407" t="s">
        <v>474</v>
      </c>
      <c r="E192" s="407" t="s">
        <v>115</v>
      </c>
      <c r="F192" s="408" t="s">
        <v>252</v>
      </c>
    </row>
    <row r="193" spans="4:6" ht="12.75">
      <c r="D193" s="407" t="s">
        <v>475</v>
      </c>
      <c r="E193" s="407" t="s">
        <v>113</v>
      </c>
      <c r="F193" s="408" t="s">
        <v>296</v>
      </c>
    </row>
    <row r="194" spans="4:6" ht="12.75">
      <c r="D194" s="407" t="s">
        <v>476</v>
      </c>
      <c r="E194" s="407" t="s">
        <v>113</v>
      </c>
      <c r="F194" s="408" t="s">
        <v>297</v>
      </c>
    </row>
    <row r="195" spans="4:6" ht="12.75">
      <c r="D195" s="407" t="s">
        <v>477</v>
      </c>
      <c r="E195" s="407" t="s">
        <v>114</v>
      </c>
      <c r="F195" s="408" t="s">
        <v>253</v>
      </c>
    </row>
    <row r="196" spans="4:6" ht="12.75">
      <c r="D196" s="407" t="s">
        <v>478</v>
      </c>
      <c r="E196" s="407" t="s">
        <v>117</v>
      </c>
      <c r="F196" s="408" t="s">
        <v>479</v>
      </c>
    </row>
    <row r="197" spans="4:6" ht="12.75">
      <c r="D197" s="407" t="s">
        <v>480</v>
      </c>
      <c r="E197" s="407" t="s">
        <v>119</v>
      </c>
      <c r="F197" s="408" t="s">
        <v>254</v>
      </c>
    </row>
    <row r="198" spans="4:6" ht="12.75">
      <c r="D198" s="407" t="s">
        <v>614</v>
      </c>
      <c r="E198" s="407" t="s">
        <v>117</v>
      </c>
      <c r="F198" s="408" t="s">
        <v>615</v>
      </c>
    </row>
    <row r="199" spans="4:6" ht="12.75">
      <c r="D199" s="407" t="s">
        <v>481</v>
      </c>
      <c r="E199" s="407" t="s">
        <v>119</v>
      </c>
      <c r="F199" s="408" t="s">
        <v>255</v>
      </c>
    </row>
    <row r="200" spans="4:6" ht="12.75">
      <c r="D200" s="407" t="s">
        <v>482</v>
      </c>
      <c r="E200" s="407" t="s">
        <v>113</v>
      </c>
      <c r="F200" s="408" t="s">
        <v>256</v>
      </c>
    </row>
    <row r="201" spans="4:6" ht="12.75">
      <c r="D201" s="407" t="s">
        <v>616</v>
      </c>
      <c r="E201" s="407" t="s">
        <v>117</v>
      </c>
      <c r="F201" s="408" t="s">
        <v>617</v>
      </c>
    </row>
    <row r="202" spans="4:6" ht="12.75">
      <c r="D202" s="407" t="s">
        <v>618</v>
      </c>
      <c r="E202" s="407" t="s">
        <v>115</v>
      </c>
      <c r="F202" s="408" t="s">
        <v>619</v>
      </c>
    </row>
    <row r="203" spans="4:6" ht="12.75">
      <c r="D203" s="407" t="s">
        <v>483</v>
      </c>
      <c r="E203" s="407" t="s">
        <v>115</v>
      </c>
      <c r="F203" s="408" t="s">
        <v>484</v>
      </c>
    </row>
    <row r="204" spans="4:6" ht="12.75">
      <c r="D204" s="407" t="s">
        <v>485</v>
      </c>
      <c r="E204" s="407" t="s">
        <v>117</v>
      </c>
      <c r="F204" s="408" t="s">
        <v>257</v>
      </c>
    </row>
    <row r="205" spans="4:6" ht="12.75">
      <c r="D205" s="407" t="s">
        <v>486</v>
      </c>
      <c r="E205" s="407" t="s">
        <v>119</v>
      </c>
      <c r="F205" s="408" t="s">
        <v>275</v>
      </c>
    </row>
    <row r="206" spans="4:6" ht="12.75">
      <c r="D206" s="407" t="s">
        <v>620</v>
      </c>
      <c r="E206" s="407" t="s">
        <v>115</v>
      </c>
      <c r="F206" s="408" t="s">
        <v>621</v>
      </c>
    </row>
    <row r="207" spans="4:6" ht="12.75">
      <c r="D207" s="407" t="s">
        <v>622</v>
      </c>
      <c r="E207" s="407" t="s">
        <v>117</v>
      </c>
      <c r="F207" s="408" t="s">
        <v>623</v>
      </c>
    </row>
    <row r="208" spans="4:6" ht="12.75">
      <c r="D208" s="407" t="s">
        <v>487</v>
      </c>
      <c r="E208" s="407" t="s">
        <v>117</v>
      </c>
      <c r="F208" s="408" t="s">
        <v>258</v>
      </c>
    </row>
    <row r="209" spans="4:6" ht="12.75">
      <c r="D209" s="407" t="s">
        <v>488</v>
      </c>
      <c r="E209" s="407" t="s">
        <v>113</v>
      </c>
      <c r="F209" s="408" t="s">
        <v>298</v>
      </c>
    </row>
    <row r="210" spans="4:6" ht="12.75">
      <c r="D210" s="407" t="s">
        <v>624</v>
      </c>
      <c r="E210" s="407" t="s">
        <v>113</v>
      </c>
      <c r="F210" s="408" t="s">
        <v>625</v>
      </c>
    </row>
    <row r="211" spans="4:6" ht="12.75">
      <c r="D211" s="407" t="s">
        <v>489</v>
      </c>
      <c r="E211" s="407" t="s">
        <v>119</v>
      </c>
      <c r="F211" s="408" t="s">
        <v>259</v>
      </c>
    </row>
    <row r="212" spans="4:6" ht="12.75">
      <c r="D212" s="407" t="s">
        <v>490</v>
      </c>
      <c r="E212" s="407" t="s">
        <v>113</v>
      </c>
      <c r="F212" s="408" t="s">
        <v>491</v>
      </c>
    </row>
  </sheetData>
  <sheetProtection password="CA59" sheet="1" selectLockedCells="1" selectUnlockedCells="1"/>
  <mergeCells count="3">
    <mergeCell ref="A14:B14"/>
    <mergeCell ref="J1:N1"/>
    <mergeCell ref="D1:F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M216"/>
  <sheetViews>
    <sheetView showGridLines="0" showRowColHeaders="0" tabSelected="1" zoomScale="110" zoomScaleNormal="110" zoomScalePageLayoutView="0" workbookViewId="0" topLeftCell="A1">
      <selection activeCell="B5" sqref="B5"/>
    </sheetView>
  </sheetViews>
  <sheetFormatPr defaultColWidth="11.5" defaultRowHeight="12.75"/>
  <cols>
    <col min="1" max="1" width="2.66015625" style="3" customWidth="1"/>
    <col min="2" max="2" width="23" style="3" customWidth="1"/>
    <col min="3" max="3" width="2.16015625" style="3" customWidth="1"/>
    <col min="4" max="4" width="27.33203125" style="3" customWidth="1"/>
    <col min="5" max="5" width="33.33203125" style="3" customWidth="1"/>
    <col min="6" max="6" width="14.83203125" style="3" customWidth="1"/>
    <col min="7" max="7" width="18.33203125" style="3" customWidth="1"/>
    <col min="8" max="8" width="6.16015625" style="116" customWidth="1"/>
    <col min="9" max="9" width="2.16015625" style="3" customWidth="1"/>
    <col min="10" max="10" width="11.83203125" style="3" customWidth="1"/>
    <col min="11" max="11" width="15.33203125" style="3" customWidth="1"/>
    <col min="12" max="17" width="11.83203125" style="3" customWidth="1"/>
    <col min="18" max="16384" width="11.5" style="3" customWidth="1"/>
  </cols>
  <sheetData>
    <row r="1" spans="1:39" ht="8.25" customHeight="1">
      <c r="A1" s="1"/>
      <c r="B1" s="1"/>
      <c r="C1" s="1"/>
      <c r="D1" s="1"/>
      <c r="E1" s="1"/>
      <c r="F1" s="1"/>
      <c r="G1" s="1"/>
      <c r="H1" s="186"/>
      <c r="I1" s="2"/>
      <c r="J1" s="2"/>
      <c r="K1" s="2"/>
      <c r="L1" s="2"/>
      <c r="M1" s="2"/>
      <c r="N1" s="2"/>
      <c r="O1" s="2"/>
      <c r="P1" s="2"/>
      <c r="Q1" s="2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39" ht="33" customHeight="1">
      <c r="A2" s="2"/>
      <c r="B2" s="271" t="s">
        <v>269</v>
      </c>
      <c r="C2" s="271"/>
      <c r="D2" s="271"/>
      <c r="E2" s="271"/>
      <c r="F2" s="271"/>
      <c r="G2" s="271"/>
      <c r="H2" s="2"/>
      <c r="I2" s="2"/>
      <c r="J2" s="2"/>
      <c r="K2" s="2"/>
      <c r="L2" s="2"/>
      <c r="M2" s="2"/>
      <c r="N2" s="2"/>
      <c r="O2" s="2"/>
      <c r="P2" s="2"/>
      <c r="Q2" s="2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</row>
    <row r="3" spans="1:39" ht="18" customHeight="1" thickBot="1">
      <c r="A3" s="1"/>
      <c r="B3" s="2"/>
      <c r="C3" s="2"/>
      <c r="D3" s="2"/>
      <c r="E3" s="2"/>
      <c r="F3" s="2"/>
      <c r="G3" s="2"/>
      <c r="H3" s="2"/>
      <c r="I3" s="174"/>
      <c r="J3" s="174"/>
      <c r="K3" s="174"/>
      <c r="L3" s="2"/>
      <c r="M3" s="2"/>
      <c r="N3" s="2"/>
      <c r="O3" s="2"/>
      <c r="P3" s="2"/>
      <c r="Q3" s="2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</row>
    <row r="4" spans="1:39" ht="24.75" customHeight="1" thickBot="1" thickTop="1">
      <c r="A4" s="1"/>
      <c r="B4" s="4" t="s">
        <v>0</v>
      </c>
      <c r="C4" s="1"/>
      <c r="D4" s="234" t="s">
        <v>1</v>
      </c>
      <c r="E4" s="235" t="s">
        <v>2</v>
      </c>
      <c r="F4" s="235" t="s">
        <v>4</v>
      </c>
      <c r="G4" s="236" t="s">
        <v>3</v>
      </c>
      <c r="H4" s="2"/>
      <c r="I4" s="174"/>
      <c r="J4" s="174"/>
      <c r="K4" s="272" t="s">
        <v>156</v>
      </c>
      <c r="L4" s="273"/>
      <c r="M4" s="2"/>
      <c r="N4" s="2"/>
      <c r="O4" s="2"/>
      <c r="P4" s="2"/>
      <c r="Q4" s="2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</row>
    <row r="5" spans="1:39" ht="24.75" customHeight="1" thickBot="1">
      <c r="A5" s="1"/>
      <c r="B5" s="14"/>
      <c r="C5" s="1"/>
      <c r="D5" s="238"/>
      <c r="E5" s="238"/>
      <c r="F5" s="239"/>
      <c r="G5" s="240"/>
      <c r="H5" s="2"/>
      <c r="I5" s="174"/>
      <c r="J5" s="174"/>
      <c r="K5" s="274"/>
      <c r="L5" s="275"/>
      <c r="M5" s="2"/>
      <c r="N5" s="2"/>
      <c r="O5" s="2"/>
      <c r="P5" s="2"/>
      <c r="Q5" s="2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</row>
    <row r="6" spans="1:39" ht="24.75" customHeight="1" thickTop="1">
      <c r="A6" s="1"/>
      <c r="B6" s="241" t="s">
        <v>48</v>
      </c>
      <c r="C6" s="1"/>
      <c r="D6" s="5"/>
      <c r="E6" s="237" t="s">
        <v>179</v>
      </c>
      <c r="F6" s="6"/>
      <c r="G6" s="5"/>
      <c r="H6" s="2"/>
      <c r="I6" s="175"/>
      <c r="J6" s="175"/>
      <c r="K6" s="175"/>
      <c r="L6" s="2"/>
      <c r="M6" s="2"/>
      <c r="N6" s="2"/>
      <c r="O6" s="2"/>
      <c r="P6" s="2"/>
      <c r="Q6" s="2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</row>
    <row r="7" spans="1:39" ht="24.75" customHeight="1">
      <c r="A7" s="1"/>
      <c r="B7" s="242"/>
      <c r="C7" s="1"/>
      <c r="D7" s="5"/>
      <c r="E7" s="238"/>
      <c r="F7" s="6"/>
      <c r="G7" s="5"/>
      <c r="H7" s="2"/>
      <c r="I7" s="2"/>
      <c r="J7" s="276" t="s">
        <v>79</v>
      </c>
      <c r="K7" s="277"/>
      <c r="L7" s="277"/>
      <c r="M7" s="278"/>
      <c r="N7" s="2"/>
      <c r="O7" s="2"/>
      <c r="P7" s="2"/>
      <c r="Q7" s="2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</row>
    <row r="8" spans="1:39" ht="6" customHeight="1" thickBot="1">
      <c r="A8" s="1"/>
      <c r="B8" s="1"/>
      <c r="C8" s="1"/>
      <c r="D8" s="1"/>
      <c r="E8" s="1"/>
      <c r="F8" s="2"/>
      <c r="G8" s="2"/>
      <c r="H8" s="2"/>
      <c r="I8" s="2"/>
      <c r="J8" s="279"/>
      <c r="K8" s="280"/>
      <c r="L8" s="280"/>
      <c r="M8" s="281"/>
      <c r="N8" s="2"/>
      <c r="O8" s="2"/>
      <c r="P8" s="2"/>
      <c r="Q8" s="2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</row>
    <row r="9" spans="1:39" ht="27" customHeight="1" thickBot="1">
      <c r="A9" s="1"/>
      <c r="B9" s="7"/>
      <c r="C9" s="8"/>
      <c r="D9" s="168" t="s">
        <v>5</v>
      </c>
      <c r="E9" s="167" t="s">
        <v>6</v>
      </c>
      <c r="F9" s="167" t="s">
        <v>46</v>
      </c>
      <c r="G9" s="183" t="s">
        <v>195</v>
      </c>
      <c r="H9" s="2"/>
      <c r="I9" s="2"/>
      <c r="J9" s="67" t="s">
        <v>130</v>
      </c>
      <c r="K9" s="282"/>
      <c r="L9" s="283"/>
      <c r="M9" s="284"/>
      <c r="N9" s="2"/>
      <c r="O9" s="2"/>
      <c r="P9" s="2"/>
      <c r="Q9" s="2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</row>
    <row r="10" spans="1:39" ht="24.75" customHeight="1">
      <c r="A10" s="1"/>
      <c r="B10" s="176" t="s">
        <v>131</v>
      </c>
      <c r="C10" s="9"/>
      <c r="D10" s="14"/>
      <c r="E10" s="10" t="str">
        <f>_xlfn.IFERROR(IF(D10&lt;&gt;"",VLOOKUP(D10,info_joueur,2,FALSE)," "),"")</f>
        <v> </v>
      </c>
      <c r="F10" s="10" t="str">
        <f>_xlfn.IFERROR(IF(D10&lt;&gt;"",VLOOKUP(D10,info_joueur,3,FALSE)," "),"")</f>
        <v> </v>
      </c>
      <c r="G10" s="184"/>
      <c r="H10" s="2"/>
      <c r="I10" s="2"/>
      <c r="J10" s="268" t="s">
        <v>78</v>
      </c>
      <c r="K10" s="289">
        <f>IF(K9&lt;&gt;"",VLOOKUP(K9,données!$J$2:$M$23,2,FALSE),"")</f>
      </c>
      <c r="L10" s="290"/>
      <c r="M10" s="291"/>
      <c r="N10" s="2"/>
      <c r="O10" s="2"/>
      <c r="P10" s="2"/>
      <c r="Q10" s="2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1:39" ht="24.75" customHeight="1">
      <c r="A11" s="1"/>
      <c r="B11" s="177" t="s">
        <v>132</v>
      </c>
      <c r="C11" s="9"/>
      <c r="D11" s="14"/>
      <c r="E11" s="10" t="str">
        <f>_xlfn.IFERROR(IF(D11&lt;&gt;"",VLOOKUP(D11,info_joueur,2,FALSE)," "),"")</f>
        <v> </v>
      </c>
      <c r="F11" s="10" t="str">
        <f>_xlfn.IFERROR(IF(D11&lt;&gt;"",VLOOKUP(D11,info_joueur,3,FALSE)," "),"")</f>
        <v> </v>
      </c>
      <c r="G11" s="185"/>
      <c r="H11" s="2"/>
      <c r="I11" s="2"/>
      <c r="J11" s="269"/>
      <c r="K11" s="289">
        <f>IF(K9&lt;&gt;"",VLOOKUP(K9,données!$J$2:$M$23,3,FALSE),"")</f>
      </c>
      <c r="L11" s="290"/>
      <c r="M11" s="291"/>
      <c r="N11" s="2"/>
      <c r="O11" s="2"/>
      <c r="P11" s="2"/>
      <c r="Q11" s="2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1:39" ht="24.75" customHeight="1" thickBot="1">
      <c r="A12" s="1"/>
      <c r="B12" s="178" t="s">
        <v>133</v>
      </c>
      <c r="C12" s="9"/>
      <c r="D12" s="14"/>
      <c r="E12" s="10" t="str">
        <f>_xlfn.IFERROR(IF(D12&lt;&gt;"",VLOOKUP(D12,info_joueur,2,FALSE)," "),"")</f>
        <v> </v>
      </c>
      <c r="F12" s="10" t="str">
        <f>_xlfn.IFERROR(IF(D12&lt;&gt;"",VLOOKUP(D12,info_joueur,3,FALSE)," "),"")</f>
        <v> </v>
      </c>
      <c r="G12" s="185"/>
      <c r="H12" s="2"/>
      <c r="I12" s="2"/>
      <c r="J12" s="68" t="s">
        <v>90</v>
      </c>
      <c r="K12" s="265">
        <f>IF(K9&lt;&gt;"",VLOOKUP(K9,données!$J$2:$M$23,4,FALSE),"")</f>
      </c>
      <c r="L12" s="266"/>
      <c r="M12" s="267"/>
      <c r="N12" s="2"/>
      <c r="O12" s="2"/>
      <c r="P12" s="2"/>
      <c r="Q12" s="2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</row>
    <row r="13" spans="1:39" ht="24.75" customHeight="1" thickBot="1">
      <c r="A13" s="1"/>
      <c r="B13" s="179"/>
      <c r="C13" s="8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</row>
    <row r="14" spans="1:39" ht="24.75" customHeight="1" thickTop="1">
      <c r="A14" s="1"/>
      <c r="B14" s="180" t="s">
        <v>134</v>
      </c>
      <c r="C14" s="1"/>
      <c r="D14" s="14"/>
      <c r="E14" s="10" t="str">
        <f>_xlfn.IFERROR(IF(D14&lt;&gt;"",VLOOKUP(D14,info_joueur,2,FALSE)," "),"")</f>
        <v> </v>
      </c>
      <c r="F14" s="10" t="str">
        <f>_xlfn.IFERROR(IF(D14&lt;&gt;"",VLOOKUP(D14,info_joueur,3,FALSE)," "),"")</f>
        <v> </v>
      </c>
      <c r="G14" s="184"/>
      <c r="H14" s="2"/>
      <c r="I14" s="2"/>
      <c r="J14" s="2"/>
      <c r="K14" s="272" t="s">
        <v>157</v>
      </c>
      <c r="L14" s="273"/>
      <c r="M14" s="2"/>
      <c r="N14" s="2"/>
      <c r="O14" s="2"/>
      <c r="P14" s="2"/>
      <c r="Q14" s="2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</row>
    <row r="15" spans="1:39" ht="24.75" customHeight="1" thickBot="1">
      <c r="A15" s="1"/>
      <c r="B15" s="181" t="s">
        <v>135</v>
      </c>
      <c r="C15" s="1"/>
      <c r="D15" s="14"/>
      <c r="E15" s="10" t="str">
        <f>_xlfn.IFERROR(IF(D15&lt;&gt;"",VLOOKUP(D15,info_joueur,2,FALSE)," "),"")</f>
        <v> </v>
      </c>
      <c r="F15" s="10" t="str">
        <f>_xlfn.IFERROR(IF(D15&lt;&gt;"",VLOOKUP(D15,info_joueur,3,FALSE)," "),"")</f>
        <v> </v>
      </c>
      <c r="G15" s="185"/>
      <c r="H15" s="2"/>
      <c r="I15" s="2"/>
      <c r="J15" s="2"/>
      <c r="K15" s="274"/>
      <c r="L15" s="275"/>
      <c r="M15" s="2"/>
      <c r="N15" s="2"/>
      <c r="O15" s="2"/>
      <c r="P15" s="2"/>
      <c r="Q15" s="2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</row>
    <row r="16" spans="1:39" ht="24.75" customHeight="1" thickBot="1" thickTop="1">
      <c r="A16" s="1"/>
      <c r="B16" s="182" t="s">
        <v>136</v>
      </c>
      <c r="C16" s="1"/>
      <c r="D16" s="14"/>
      <c r="E16" s="10" t="str">
        <f>_xlfn.IFERROR(IF(D16&lt;&gt;"",VLOOKUP(D16,info_joueur,2,FALSE)," "),"")</f>
        <v> </v>
      </c>
      <c r="F16" s="10" t="str">
        <f>_xlfn.IFERROR(IF(D16&lt;&gt;"",VLOOKUP(D16,info_joueur,3,FALSE)," "),"")</f>
        <v> </v>
      </c>
      <c r="G16" s="185"/>
      <c r="H16" s="2"/>
      <c r="I16" s="2"/>
      <c r="J16" s="2"/>
      <c r="K16" s="2"/>
      <c r="L16" s="2"/>
      <c r="M16" s="2"/>
      <c r="N16" s="2"/>
      <c r="O16" s="2"/>
      <c r="P16" s="2"/>
      <c r="Q16" s="2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</row>
    <row r="17" spans="1:39" ht="12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</row>
    <row r="18" spans="1:39" ht="21" customHeight="1">
      <c r="A18" s="2"/>
      <c r="B18" s="270" t="s">
        <v>626</v>
      </c>
      <c r="C18" s="2"/>
      <c r="D18" s="199" t="s">
        <v>89</v>
      </c>
      <c r="E18" s="285" t="s">
        <v>194</v>
      </c>
      <c r="F18" s="285"/>
      <c r="G18" s="286"/>
      <c r="H18" s="187"/>
      <c r="I18" s="2"/>
      <c r="J18" s="292" t="s">
        <v>262</v>
      </c>
      <c r="K18" s="293"/>
      <c r="L18" s="293"/>
      <c r="M18" s="294"/>
      <c r="N18" s="2"/>
      <c r="O18" s="2"/>
      <c r="P18" s="2"/>
      <c r="Q18" s="2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</row>
    <row r="19" spans="1:39" ht="21" customHeight="1">
      <c r="A19" s="2"/>
      <c r="B19" s="270"/>
      <c r="C19" s="2"/>
      <c r="D19" s="198"/>
      <c r="E19" s="287"/>
      <c r="F19" s="287"/>
      <c r="G19" s="288"/>
      <c r="H19" s="187"/>
      <c r="I19" s="2"/>
      <c r="J19" s="259" t="s">
        <v>263</v>
      </c>
      <c r="K19" s="260"/>
      <c r="L19" s="260"/>
      <c r="M19" s="261"/>
      <c r="N19" s="2"/>
      <c r="O19" s="2"/>
      <c r="P19" s="2"/>
      <c r="Q19" s="2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</row>
    <row r="20" spans="1:39" ht="15.75" customHeight="1">
      <c r="A20" s="2"/>
      <c r="B20" s="2"/>
      <c r="C20" s="2"/>
      <c r="D20" s="2"/>
      <c r="E20" s="2"/>
      <c r="F20" s="2"/>
      <c r="G20" s="2"/>
      <c r="H20" s="187"/>
      <c r="I20" s="2"/>
      <c r="J20" s="259" t="s">
        <v>264</v>
      </c>
      <c r="K20" s="260"/>
      <c r="L20" s="260"/>
      <c r="M20" s="261"/>
      <c r="N20" s="2"/>
      <c r="O20" s="2"/>
      <c r="P20" s="2"/>
      <c r="Q20" s="2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</row>
    <row r="21" spans="1:39" ht="25.5" customHeight="1">
      <c r="A21" s="2"/>
      <c r="B21" s="2"/>
      <c r="C21" s="2"/>
      <c r="D21" s="2"/>
      <c r="E21" s="2"/>
      <c r="F21" s="2"/>
      <c r="G21" s="2"/>
      <c r="H21" s="187"/>
      <c r="I21" s="2"/>
      <c r="J21" s="262" t="s">
        <v>265</v>
      </c>
      <c r="K21" s="263"/>
      <c r="L21" s="263"/>
      <c r="M21" s="264"/>
      <c r="N21" s="2"/>
      <c r="O21" s="2"/>
      <c r="P21" s="2"/>
      <c r="Q21" s="2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</row>
    <row r="22" spans="1:39" ht="25.5" customHeight="1">
      <c r="A22" s="2"/>
      <c r="B22" s="2"/>
      <c r="C22" s="2"/>
      <c r="D22" s="2"/>
      <c r="E22" s="2"/>
      <c r="F22" s="2"/>
      <c r="G22" s="2"/>
      <c r="H22" s="187"/>
      <c r="I22" s="2"/>
      <c r="J22" s="2"/>
      <c r="K22" s="2"/>
      <c r="L22" s="2"/>
      <c r="M22" s="2"/>
      <c r="N22" s="2"/>
      <c r="O22" s="2"/>
      <c r="P22" s="2"/>
      <c r="Q22" s="2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</row>
    <row r="23" spans="1:39" ht="25.5" customHeight="1">
      <c r="A23" s="2"/>
      <c r="B23" s="2"/>
      <c r="C23" s="2"/>
      <c r="D23" s="2"/>
      <c r="E23" s="2"/>
      <c r="F23" s="2"/>
      <c r="G23" s="2"/>
      <c r="H23" s="187"/>
      <c r="I23" s="2"/>
      <c r="J23" s="2"/>
      <c r="K23" s="2"/>
      <c r="L23" s="2"/>
      <c r="M23" s="2"/>
      <c r="N23" s="2"/>
      <c r="O23" s="2"/>
      <c r="P23" s="2"/>
      <c r="Q23" s="2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</row>
    <row r="24" spans="1:39" ht="25.5" customHeight="1">
      <c r="A24" s="2"/>
      <c r="B24" s="2"/>
      <c r="C24" s="2"/>
      <c r="D24" s="2"/>
      <c r="E24" s="2"/>
      <c r="F24" s="2"/>
      <c r="G24" s="2"/>
      <c r="H24" s="187"/>
      <c r="I24" s="2"/>
      <c r="J24" s="2"/>
      <c r="K24" s="2"/>
      <c r="L24" s="2"/>
      <c r="M24" s="2"/>
      <c r="N24" s="2"/>
      <c r="O24" s="2"/>
      <c r="P24" s="2"/>
      <c r="Q24" s="2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</row>
    <row r="25" spans="1:39" ht="25.5" customHeight="1">
      <c r="A25" s="2"/>
      <c r="B25" s="2"/>
      <c r="C25" s="2"/>
      <c r="D25" s="2"/>
      <c r="E25" s="2"/>
      <c r="F25" s="2"/>
      <c r="G25" s="2"/>
      <c r="H25" s="187"/>
      <c r="I25" s="2"/>
      <c r="J25" s="2"/>
      <c r="K25" s="2"/>
      <c r="L25" s="2"/>
      <c r="M25" s="2"/>
      <c r="N25" s="2"/>
      <c r="O25" s="2"/>
      <c r="P25" s="2"/>
      <c r="Q25" s="2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</row>
    <row r="26" spans="1:39" ht="25.5" customHeight="1">
      <c r="A26" s="70"/>
      <c r="B26" s="70"/>
      <c r="C26" s="70"/>
      <c r="D26" s="70"/>
      <c r="E26" s="70"/>
      <c r="F26" s="70"/>
      <c r="G26" s="70"/>
      <c r="H26" s="188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</row>
    <row r="27" spans="1:39" ht="12.75">
      <c r="A27" s="70"/>
      <c r="B27" s="70"/>
      <c r="C27" s="70"/>
      <c r="D27" s="70"/>
      <c r="E27" s="70"/>
      <c r="F27" s="70"/>
      <c r="G27" s="70"/>
      <c r="H27" s="188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</row>
    <row r="28" spans="1:39" ht="12.75">
      <c r="A28" s="70"/>
      <c r="B28" s="70"/>
      <c r="C28" s="70"/>
      <c r="D28" s="70"/>
      <c r="E28" s="70"/>
      <c r="F28" s="70"/>
      <c r="G28" s="70"/>
      <c r="H28" s="188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</row>
    <row r="29" spans="1:39" ht="12.75">
      <c r="A29" s="70"/>
      <c r="B29" s="70"/>
      <c r="C29" s="70"/>
      <c r="D29" s="70"/>
      <c r="E29" s="70"/>
      <c r="F29" s="70"/>
      <c r="G29" s="70"/>
      <c r="H29" s="188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</row>
    <row r="30" spans="1:39" ht="12.75">
      <c r="A30" s="70"/>
      <c r="B30" s="70"/>
      <c r="C30" s="70"/>
      <c r="D30" s="70"/>
      <c r="E30" s="70"/>
      <c r="F30" s="70"/>
      <c r="G30" s="70"/>
      <c r="H30" s="188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</row>
    <row r="31" spans="1:39" ht="12.75">
      <c r="A31" s="70"/>
      <c r="B31" s="70"/>
      <c r="C31" s="70"/>
      <c r="D31" s="70"/>
      <c r="E31" s="70"/>
      <c r="F31" s="70"/>
      <c r="G31" s="70"/>
      <c r="H31" s="188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</row>
    <row r="32" spans="1:39" ht="12.75">
      <c r="A32" s="70"/>
      <c r="B32" s="70"/>
      <c r="C32" s="70"/>
      <c r="D32" s="70"/>
      <c r="E32" s="70"/>
      <c r="F32" s="70"/>
      <c r="G32" s="70"/>
      <c r="H32" s="188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</row>
    <row r="33" spans="1:39" ht="12.75">
      <c r="A33" s="70"/>
      <c r="B33" s="70"/>
      <c r="C33" s="70"/>
      <c r="D33" s="70"/>
      <c r="E33" s="70"/>
      <c r="F33" s="70"/>
      <c r="G33" s="70"/>
      <c r="H33" s="188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</row>
    <row r="34" spans="1:39" ht="12.75">
      <c r="A34" s="70"/>
      <c r="B34" s="70"/>
      <c r="C34" s="70"/>
      <c r="D34" s="70"/>
      <c r="E34" s="70"/>
      <c r="F34" s="70"/>
      <c r="G34" s="70"/>
      <c r="H34" s="188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</row>
    <row r="35" spans="1:39" ht="12.75">
      <c r="A35" s="70"/>
      <c r="B35" s="70"/>
      <c r="C35" s="70"/>
      <c r="D35" s="70"/>
      <c r="E35" s="70"/>
      <c r="F35" s="70"/>
      <c r="G35" s="70"/>
      <c r="H35" s="188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</row>
    <row r="36" spans="1:39" ht="12.75">
      <c r="A36" s="70"/>
      <c r="B36" s="70"/>
      <c r="C36" s="70"/>
      <c r="D36" s="70"/>
      <c r="E36" s="70"/>
      <c r="F36" s="70"/>
      <c r="G36" s="70"/>
      <c r="H36" s="188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</row>
    <row r="37" spans="1:39" ht="12.75">
      <c r="A37" s="70"/>
      <c r="B37" s="70"/>
      <c r="C37" s="70"/>
      <c r="D37" s="70"/>
      <c r="E37" s="70"/>
      <c r="F37" s="70"/>
      <c r="G37" s="70"/>
      <c r="H37" s="188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</row>
    <row r="38" spans="1:39" ht="12.75">
      <c r="A38" s="70"/>
      <c r="B38" s="70"/>
      <c r="C38" s="70"/>
      <c r="D38" s="70"/>
      <c r="E38" s="70"/>
      <c r="F38" s="70"/>
      <c r="G38" s="70"/>
      <c r="H38" s="188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</row>
    <row r="39" spans="1:39" ht="12.75">
      <c r="A39" s="70"/>
      <c r="B39" s="70"/>
      <c r="C39" s="70"/>
      <c r="D39" s="70"/>
      <c r="E39" s="70"/>
      <c r="F39" s="70"/>
      <c r="G39" s="70"/>
      <c r="H39" s="188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</row>
    <row r="40" spans="1:39" ht="12.75">
      <c r="A40" s="70"/>
      <c r="B40" s="70"/>
      <c r="C40" s="70"/>
      <c r="D40" s="70"/>
      <c r="E40" s="70"/>
      <c r="F40" s="70"/>
      <c r="G40" s="70"/>
      <c r="H40" s="188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</row>
    <row r="41" spans="1:39" ht="12.75">
      <c r="A41" s="70"/>
      <c r="B41" s="70"/>
      <c r="C41" s="70"/>
      <c r="D41" s="70"/>
      <c r="E41" s="70"/>
      <c r="F41" s="70"/>
      <c r="G41" s="70"/>
      <c r="H41" s="188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</row>
    <row r="42" spans="1:39" ht="12.75">
      <c r="A42" s="70"/>
      <c r="B42" s="70"/>
      <c r="C42" s="70"/>
      <c r="D42" s="70"/>
      <c r="E42" s="70"/>
      <c r="F42" s="70"/>
      <c r="G42" s="70"/>
      <c r="H42" s="188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</row>
    <row r="43" spans="1:39" ht="12.75">
      <c r="A43" s="70"/>
      <c r="B43" s="70"/>
      <c r="C43" s="70"/>
      <c r="D43" s="70"/>
      <c r="E43" s="70"/>
      <c r="F43" s="70"/>
      <c r="G43" s="70"/>
      <c r="H43" s="188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</row>
    <row r="44" spans="1:39" ht="12.75">
      <c r="A44" s="70"/>
      <c r="B44" s="70"/>
      <c r="C44" s="70"/>
      <c r="D44" s="70"/>
      <c r="E44" s="70"/>
      <c r="F44" s="70"/>
      <c r="G44" s="70"/>
      <c r="H44" s="188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</row>
    <row r="45" spans="1:39" ht="12.75">
      <c r="A45" s="70"/>
      <c r="B45" s="70"/>
      <c r="C45" s="70"/>
      <c r="D45" s="70"/>
      <c r="E45" s="70"/>
      <c r="F45" s="70"/>
      <c r="G45" s="70"/>
      <c r="H45" s="188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</row>
    <row r="46" spans="1:39" ht="12.75">
      <c r="A46" s="70"/>
      <c r="B46" s="70"/>
      <c r="C46" s="70"/>
      <c r="D46" s="70"/>
      <c r="E46" s="70"/>
      <c r="F46" s="70"/>
      <c r="G46" s="70"/>
      <c r="H46" s="188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</row>
    <row r="47" spans="1:39" ht="12.75">
      <c r="A47" s="70"/>
      <c r="B47" s="70"/>
      <c r="C47" s="70"/>
      <c r="D47" s="70"/>
      <c r="E47" s="70"/>
      <c r="F47" s="70"/>
      <c r="G47" s="70"/>
      <c r="H47" s="188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</row>
    <row r="48" spans="1:39" ht="12.75">
      <c r="A48" s="70"/>
      <c r="B48" s="70"/>
      <c r="C48" s="70"/>
      <c r="D48" s="70"/>
      <c r="E48" s="70"/>
      <c r="F48" s="70"/>
      <c r="G48" s="70"/>
      <c r="H48" s="188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</row>
    <row r="49" spans="1:39" ht="12.75">
      <c r="A49" s="70"/>
      <c r="B49" s="70"/>
      <c r="C49" s="70"/>
      <c r="D49" s="70"/>
      <c r="E49" s="70"/>
      <c r="F49" s="70"/>
      <c r="G49" s="70"/>
      <c r="H49" s="188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</row>
    <row r="50" spans="1:39" ht="12.75">
      <c r="A50" s="70"/>
      <c r="B50" s="70"/>
      <c r="C50" s="70"/>
      <c r="D50" s="70"/>
      <c r="E50" s="70"/>
      <c r="F50" s="70"/>
      <c r="G50" s="70"/>
      <c r="H50" s="188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</row>
    <row r="51" spans="1:39" ht="12.75">
      <c r="A51" s="70"/>
      <c r="B51" s="70"/>
      <c r="C51" s="70"/>
      <c r="D51" s="70"/>
      <c r="E51" s="70"/>
      <c r="F51" s="70"/>
      <c r="G51" s="70"/>
      <c r="H51" s="188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</row>
    <row r="52" spans="1:39" ht="12.75">
      <c r="A52" s="70"/>
      <c r="B52" s="70"/>
      <c r="C52" s="70"/>
      <c r="D52" s="70"/>
      <c r="E52" s="70"/>
      <c r="F52" s="70"/>
      <c r="G52" s="70"/>
      <c r="H52" s="188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</row>
    <row r="53" spans="1:39" ht="12.75">
      <c r="A53" s="70"/>
      <c r="B53" s="70"/>
      <c r="C53" s="70"/>
      <c r="D53" s="70"/>
      <c r="E53" s="70"/>
      <c r="F53" s="70"/>
      <c r="G53" s="70"/>
      <c r="H53" s="188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</row>
    <row r="54" spans="1:39" ht="12.75">
      <c r="A54" s="70"/>
      <c r="B54" s="70"/>
      <c r="C54" s="70"/>
      <c r="D54" s="70"/>
      <c r="E54" s="70"/>
      <c r="F54" s="70"/>
      <c r="G54" s="70"/>
      <c r="H54" s="188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</row>
    <row r="55" spans="1:39" ht="12.75">
      <c r="A55" s="70"/>
      <c r="B55" s="70"/>
      <c r="C55" s="70"/>
      <c r="D55" s="70"/>
      <c r="E55" s="70"/>
      <c r="F55" s="70"/>
      <c r="G55" s="70"/>
      <c r="H55" s="188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</row>
    <row r="56" spans="1:39" ht="12.75">
      <c r="A56" s="70"/>
      <c r="B56" s="70"/>
      <c r="C56" s="70"/>
      <c r="D56" s="70"/>
      <c r="E56" s="70"/>
      <c r="F56" s="70"/>
      <c r="G56" s="70"/>
      <c r="H56" s="188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</row>
    <row r="57" spans="1:39" ht="12.75">
      <c r="A57" s="70"/>
      <c r="B57" s="70"/>
      <c r="C57" s="70"/>
      <c r="D57" s="70"/>
      <c r="E57" s="70"/>
      <c r="F57" s="70"/>
      <c r="G57" s="70"/>
      <c r="H57" s="188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</row>
    <row r="58" spans="1:39" ht="12.75">
      <c r="A58" s="70"/>
      <c r="B58" s="70"/>
      <c r="C58" s="70"/>
      <c r="D58" s="70"/>
      <c r="E58" s="70"/>
      <c r="F58" s="70"/>
      <c r="G58" s="70"/>
      <c r="H58" s="188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</row>
    <row r="59" spans="1:39" ht="12.75">
      <c r="A59" s="70"/>
      <c r="B59" s="70"/>
      <c r="C59" s="70"/>
      <c r="D59" s="70"/>
      <c r="E59" s="70"/>
      <c r="F59" s="70"/>
      <c r="G59" s="70"/>
      <c r="H59" s="188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</row>
    <row r="60" spans="1:39" ht="12.75">
      <c r="A60" s="70"/>
      <c r="B60" s="70"/>
      <c r="C60" s="70"/>
      <c r="D60" s="70"/>
      <c r="E60" s="70"/>
      <c r="F60" s="70"/>
      <c r="G60" s="70"/>
      <c r="H60" s="188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</row>
    <row r="61" spans="1:39" ht="12.75">
      <c r="A61" s="70"/>
      <c r="B61" s="70"/>
      <c r="C61" s="70"/>
      <c r="D61" s="70"/>
      <c r="E61" s="70"/>
      <c r="F61" s="70"/>
      <c r="G61" s="70"/>
      <c r="H61" s="188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</row>
    <row r="62" spans="1:39" ht="12.75">
      <c r="A62" s="70"/>
      <c r="B62" s="70"/>
      <c r="C62" s="70"/>
      <c r="D62" s="70"/>
      <c r="E62" s="70"/>
      <c r="F62" s="70"/>
      <c r="G62" s="70"/>
      <c r="H62" s="188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</row>
    <row r="63" spans="1:39" ht="12.75">
      <c r="A63" s="70"/>
      <c r="B63" s="70"/>
      <c r="C63" s="70"/>
      <c r="D63" s="70"/>
      <c r="E63" s="70"/>
      <c r="F63" s="70"/>
      <c r="G63" s="70"/>
      <c r="H63" s="188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</row>
    <row r="64" spans="1:39" ht="12.75">
      <c r="A64" s="70"/>
      <c r="B64" s="70"/>
      <c r="C64" s="70"/>
      <c r="D64" s="70"/>
      <c r="E64" s="70"/>
      <c r="F64" s="70"/>
      <c r="G64" s="70"/>
      <c r="H64" s="188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</row>
    <row r="65" spans="1:39" ht="12.75">
      <c r="A65" s="70"/>
      <c r="B65" s="70"/>
      <c r="C65" s="70"/>
      <c r="D65" s="70"/>
      <c r="E65" s="70"/>
      <c r="F65" s="70"/>
      <c r="G65" s="70"/>
      <c r="H65" s="188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</row>
    <row r="66" spans="1:39" ht="12.75">
      <c r="A66" s="70"/>
      <c r="B66" s="70"/>
      <c r="C66" s="70"/>
      <c r="D66" s="70"/>
      <c r="E66" s="70"/>
      <c r="F66" s="70"/>
      <c r="G66" s="70"/>
      <c r="H66" s="188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</row>
    <row r="67" spans="1:39" ht="12.75">
      <c r="A67" s="70"/>
      <c r="B67" s="70"/>
      <c r="C67" s="70"/>
      <c r="D67" s="70"/>
      <c r="E67" s="70"/>
      <c r="F67" s="70"/>
      <c r="G67" s="70"/>
      <c r="H67" s="188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</row>
    <row r="68" spans="1:39" ht="12.75">
      <c r="A68" s="70"/>
      <c r="B68" s="70"/>
      <c r="C68" s="70"/>
      <c r="D68" s="70"/>
      <c r="E68" s="70"/>
      <c r="F68" s="70"/>
      <c r="G68" s="70"/>
      <c r="H68" s="188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</row>
    <row r="69" spans="1:39" ht="12.75">
      <c r="A69" s="70"/>
      <c r="B69" s="70"/>
      <c r="C69" s="70"/>
      <c r="D69" s="70"/>
      <c r="E69" s="70"/>
      <c r="F69" s="70"/>
      <c r="G69" s="70"/>
      <c r="H69" s="188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</row>
    <row r="70" spans="1:39" ht="12.75">
      <c r="A70" s="70"/>
      <c r="B70" s="70"/>
      <c r="C70" s="70"/>
      <c r="D70" s="70"/>
      <c r="E70" s="70"/>
      <c r="F70" s="70"/>
      <c r="G70" s="70"/>
      <c r="H70" s="188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</row>
    <row r="71" spans="1:39" ht="12.75">
      <c r="A71" s="70"/>
      <c r="B71" s="70"/>
      <c r="C71" s="70"/>
      <c r="D71" s="70"/>
      <c r="E71" s="70"/>
      <c r="F71" s="70"/>
      <c r="G71" s="70"/>
      <c r="H71" s="188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</row>
    <row r="72" spans="1:39" ht="12.75">
      <c r="A72" s="70"/>
      <c r="B72" s="70"/>
      <c r="C72" s="70"/>
      <c r="D72" s="70"/>
      <c r="E72" s="70"/>
      <c r="F72" s="70"/>
      <c r="G72" s="70"/>
      <c r="H72" s="188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</row>
    <row r="73" spans="1:39" ht="12.75">
      <c r="A73" s="70"/>
      <c r="B73" s="70"/>
      <c r="C73" s="70"/>
      <c r="D73" s="70"/>
      <c r="E73" s="70"/>
      <c r="F73" s="70"/>
      <c r="G73" s="70"/>
      <c r="H73" s="188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</row>
    <row r="74" spans="1:39" ht="12.75">
      <c r="A74" s="70"/>
      <c r="B74" s="70"/>
      <c r="C74" s="70"/>
      <c r="D74" s="70"/>
      <c r="E74" s="70"/>
      <c r="F74" s="70"/>
      <c r="G74" s="70"/>
      <c r="H74" s="188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</row>
    <row r="75" spans="1:39" ht="12.75">
      <c r="A75" s="70"/>
      <c r="B75" s="70"/>
      <c r="C75" s="70"/>
      <c r="D75" s="70"/>
      <c r="E75" s="70"/>
      <c r="F75" s="70"/>
      <c r="G75" s="70"/>
      <c r="H75" s="188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</row>
    <row r="76" spans="1:39" ht="12.75">
      <c r="A76" s="70"/>
      <c r="B76" s="70"/>
      <c r="C76" s="70"/>
      <c r="D76" s="70"/>
      <c r="E76" s="70"/>
      <c r="F76" s="70"/>
      <c r="G76" s="70"/>
      <c r="H76" s="188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</row>
    <row r="77" spans="1:39" ht="12.75">
      <c r="A77" s="70"/>
      <c r="B77" s="70"/>
      <c r="C77" s="70"/>
      <c r="D77" s="70"/>
      <c r="E77" s="70"/>
      <c r="F77" s="70"/>
      <c r="G77" s="70"/>
      <c r="H77" s="188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</row>
    <row r="78" spans="1:39" ht="12.75">
      <c r="A78" s="70"/>
      <c r="B78" s="70"/>
      <c r="C78" s="70"/>
      <c r="D78" s="70"/>
      <c r="E78" s="70"/>
      <c r="F78" s="70"/>
      <c r="G78" s="70"/>
      <c r="H78" s="188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</row>
    <row r="79" spans="1:39" ht="12.75">
      <c r="A79" s="70"/>
      <c r="B79" s="70"/>
      <c r="C79" s="70"/>
      <c r="D79" s="70"/>
      <c r="E79" s="70"/>
      <c r="F79" s="70"/>
      <c r="G79" s="70"/>
      <c r="H79" s="188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</row>
    <row r="80" spans="1:39" ht="12.75">
      <c r="A80" s="70"/>
      <c r="B80" s="70"/>
      <c r="C80" s="70"/>
      <c r="D80" s="70"/>
      <c r="E80" s="70"/>
      <c r="F80" s="70"/>
      <c r="G80" s="70"/>
      <c r="H80" s="188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</row>
    <row r="81" spans="1:39" ht="12.75">
      <c r="A81" s="70"/>
      <c r="B81" s="70"/>
      <c r="C81" s="70"/>
      <c r="D81" s="70"/>
      <c r="E81" s="70"/>
      <c r="F81" s="70"/>
      <c r="G81" s="70"/>
      <c r="H81" s="188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</row>
    <row r="82" spans="1:39" ht="12.75">
      <c r="A82" s="70"/>
      <c r="B82" s="70"/>
      <c r="C82" s="70"/>
      <c r="D82" s="70"/>
      <c r="E82" s="70"/>
      <c r="F82" s="70"/>
      <c r="G82" s="70"/>
      <c r="H82" s="188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</row>
    <row r="83" spans="1:39" ht="12.75">
      <c r="A83" s="70"/>
      <c r="B83" s="70"/>
      <c r="C83" s="70"/>
      <c r="D83" s="70"/>
      <c r="E83" s="70"/>
      <c r="F83" s="70"/>
      <c r="G83" s="70"/>
      <c r="H83" s="188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</row>
    <row r="84" spans="1:39" ht="12.75">
      <c r="A84" s="70"/>
      <c r="B84" s="70"/>
      <c r="C84" s="70"/>
      <c r="D84" s="70"/>
      <c r="E84" s="70"/>
      <c r="F84" s="70"/>
      <c r="G84" s="70"/>
      <c r="H84" s="188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</row>
    <row r="85" spans="1:39" ht="12.75">
      <c r="A85" s="70"/>
      <c r="B85" s="70"/>
      <c r="C85" s="70"/>
      <c r="D85" s="70"/>
      <c r="E85" s="70"/>
      <c r="F85" s="70"/>
      <c r="G85" s="70"/>
      <c r="H85" s="188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</row>
    <row r="86" spans="1:39" ht="12.75">
      <c r="A86" s="70"/>
      <c r="B86" s="70"/>
      <c r="C86" s="70"/>
      <c r="D86" s="70"/>
      <c r="E86" s="70"/>
      <c r="F86" s="70"/>
      <c r="G86" s="70"/>
      <c r="H86" s="188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</row>
    <row r="87" spans="1:39" ht="12.75">
      <c r="A87" s="70"/>
      <c r="B87" s="70"/>
      <c r="C87" s="70"/>
      <c r="D87" s="70"/>
      <c r="E87" s="70"/>
      <c r="F87" s="70"/>
      <c r="G87" s="70"/>
      <c r="H87" s="188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</row>
    <row r="88" spans="1:39" ht="12.75">
      <c r="A88" s="70"/>
      <c r="B88" s="70"/>
      <c r="C88" s="70"/>
      <c r="D88" s="70"/>
      <c r="E88" s="70"/>
      <c r="F88" s="70"/>
      <c r="G88" s="70"/>
      <c r="H88" s="188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</row>
    <row r="89" spans="1:39" ht="12.75">
      <c r="A89" s="70"/>
      <c r="B89" s="70"/>
      <c r="C89" s="70"/>
      <c r="D89" s="70"/>
      <c r="E89" s="70"/>
      <c r="F89" s="70"/>
      <c r="G89" s="70"/>
      <c r="H89" s="188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</row>
    <row r="90" spans="1:39" ht="12.75">
      <c r="A90" s="70"/>
      <c r="B90" s="70"/>
      <c r="C90" s="70"/>
      <c r="D90" s="70"/>
      <c r="E90" s="70"/>
      <c r="F90" s="70"/>
      <c r="G90" s="70"/>
      <c r="H90" s="188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</row>
    <row r="91" spans="1:39" ht="12.75">
      <c r="A91" s="70"/>
      <c r="B91" s="70"/>
      <c r="C91" s="70"/>
      <c r="D91" s="70"/>
      <c r="E91" s="70"/>
      <c r="F91" s="70"/>
      <c r="G91" s="70"/>
      <c r="H91" s="188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</row>
    <row r="92" spans="1:39" ht="12.75">
      <c r="A92" s="70"/>
      <c r="B92" s="70"/>
      <c r="C92" s="70"/>
      <c r="D92" s="70"/>
      <c r="E92" s="70"/>
      <c r="F92" s="70"/>
      <c r="G92" s="70"/>
      <c r="H92" s="188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</row>
    <row r="93" spans="1:39" ht="12.75">
      <c r="A93" s="70"/>
      <c r="B93" s="70"/>
      <c r="C93" s="70"/>
      <c r="D93" s="70"/>
      <c r="E93" s="70"/>
      <c r="F93" s="70"/>
      <c r="G93" s="70"/>
      <c r="H93" s="188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</row>
    <row r="94" spans="1:39" ht="12.75">
      <c r="A94" s="70"/>
      <c r="B94" s="70"/>
      <c r="C94" s="70"/>
      <c r="D94" s="70"/>
      <c r="E94" s="70"/>
      <c r="F94" s="70"/>
      <c r="G94" s="70"/>
      <c r="H94" s="188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</row>
    <row r="95" spans="1:39" ht="12.75">
      <c r="A95" s="70"/>
      <c r="B95" s="70"/>
      <c r="C95" s="70"/>
      <c r="D95" s="70"/>
      <c r="E95" s="70"/>
      <c r="F95" s="70"/>
      <c r="G95" s="70"/>
      <c r="H95" s="188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</row>
    <row r="96" spans="1:39" ht="12.75">
      <c r="A96" s="70"/>
      <c r="B96" s="70"/>
      <c r="C96" s="70"/>
      <c r="D96" s="70"/>
      <c r="E96" s="70"/>
      <c r="F96" s="70"/>
      <c r="G96" s="70"/>
      <c r="H96" s="188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</row>
    <row r="97" spans="1:39" ht="12.75">
      <c r="A97" s="70"/>
      <c r="B97" s="70"/>
      <c r="C97" s="70"/>
      <c r="D97" s="70"/>
      <c r="E97" s="70"/>
      <c r="F97" s="70"/>
      <c r="G97" s="70"/>
      <c r="H97" s="188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</row>
    <row r="98" spans="1:39" ht="12.75">
      <c r="A98" s="70"/>
      <c r="B98" s="70"/>
      <c r="C98" s="70"/>
      <c r="D98" s="70"/>
      <c r="E98" s="70"/>
      <c r="F98" s="70"/>
      <c r="G98" s="70"/>
      <c r="H98" s="188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</row>
    <row r="99" spans="1:39" ht="12.75">
      <c r="A99" s="70"/>
      <c r="B99" s="70"/>
      <c r="C99" s="70"/>
      <c r="D99" s="70"/>
      <c r="E99" s="70"/>
      <c r="F99" s="70"/>
      <c r="G99" s="70"/>
      <c r="H99" s="188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</row>
    <row r="100" spans="1:39" ht="12.75">
      <c r="A100" s="70"/>
      <c r="B100" s="70"/>
      <c r="C100" s="70"/>
      <c r="D100" s="70"/>
      <c r="E100" s="70"/>
      <c r="F100" s="70"/>
      <c r="G100" s="70"/>
      <c r="H100" s="188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</row>
    <row r="101" spans="1:39" ht="12.75">
      <c r="A101" s="70"/>
      <c r="B101" s="70"/>
      <c r="C101" s="70"/>
      <c r="D101" s="70"/>
      <c r="E101" s="70"/>
      <c r="F101" s="70"/>
      <c r="G101" s="70"/>
      <c r="H101" s="188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</row>
    <row r="102" spans="1:39" ht="12.75">
      <c r="A102" s="70"/>
      <c r="B102" s="70"/>
      <c r="C102" s="70"/>
      <c r="D102" s="70"/>
      <c r="E102" s="70"/>
      <c r="F102" s="70"/>
      <c r="G102" s="70"/>
      <c r="H102" s="188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</row>
    <row r="103" spans="1:39" ht="12.75">
      <c r="A103" s="70"/>
      <c r="B103" s="70"/>
      <c r="C103" s="70"/>
      <c r="D103" s="70"/>
      <c r="E103" s="70"/>
      <c r="F103" s="70"/>
      <c r="G103" s="70"/>
      <c r="H103" s="188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</row>
    <row r="104" spans="1:39" ht="12.75">
      <c r="A104" s="70"/>
      <c r="B104" s="70"/>
      <c r="C104" s="70"/>
      <c r="D104" s="70"/>
      <c r="E104" s="70"/>
      <c r="F104" s="70"/>
      <c r="G104" s="70"/>
      <c r="H104" s="188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</row>
    <row r="105" spans="1:39" ht="12.75">
      <c r="A105" s="70"/>
      <c r="B105" s="70"/>
      <c r="C105" s="70"/>
      <c r="D105" s="70"/>
      <c r="E105" s="70"/>
      <c r="F105" s="70"/>
      <c r="G105" s="70"/>
      <c r="H105" s="188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</row>
    <row r="106" spans="1:39" ht="12.75">
      <c r="A106" s="70"/>
      <c r="B106" s="70"/>
      <c r="C106" s="70"/>
      <c r="D106" s="70"/>
      <c r="E106" s="70"/>
      <c r="F106" s="70"/>
      <c r="G106" s="70"/>
      <c r="H106" s="188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</row>
    <row r="107" spans="1:39" ht="12.75">
      <c r="A107" s="70"/>
      <c r="B107" s="70"/>
      <c r="C107" s="70"/>
      <c r="D107" s="70"/>
      <c r="E107" s="70"/>
      <c r="F107" s="70"/>
      <c r="G107" s="70"/>
      <c r="H107" s="188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</row>
    <row r="108" spans="1:39" ht="12.75">
      <c r="A108" s="70"/>
      <c r="B108" s="70"/>
      <c r="C108" s="70"/>
      <c r="D108" s="70"/>
      <c r="E108" s="70"/>
      <c r="F108" s="70"/>
      <c r="G108" s="70"/>
      <c r="H108" s="188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</row>
    <row r="109" spans="1:39" ht="12.75">
      <c r="A109" s="70"/>
      <c r="B109" s="70"/>
      <c r="C109" s="70"/>
      <c r="D109" s="70"/>
      <c r="E109" s="70"/>
      <c r="F109" s="70"/>
      <c r="G109" s="70"/>
      <c r="H109" s="188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</row>
    <row r="110" spans="1:39" ht="12.75">
      <c r="A110" s="70"/>
      <c r="B110" s="70"/>
      <c r="C110" s="70"/>
      <c r="D110" s="70"/>
      <c r="E110" s="70"/>
      <c r="F110" s="70"/>
      <c r="G110" s="70"/>
      <c r="H110" s="188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</row>
    <row r="111" spans="1:39" ht="12.75">
      <c r="A111" s="70"/>
      <c r="B111" s="70"/>
      <c r="C111" s="70"/>
      <c r="D111" s="70"/>
      <c r="E111" s="70"/>
      <c r="F111" s="70"/>
      <c r="G111" s="70"/>
      <c r="H111" s="188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</row>
    <row r="112" spans="1:39" ht="12.75">
      <c r="A112" s="70"/>
      <c r="B112" s="70"/>
      <c r="C112" s="70"/>
      <c r="D112" s="70"/>
      <c r="E112" s="70"/>
      <c r="F112" s="70"/>
      <c r="G112" s="70"/>
      <c r="H112" s="188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</row>
    <row r="113" spans="1:39" ht="12.75">
      <c r="A113" s="70"/>
      <c r="B113" s="70"/>
      <c r="C113" s="70"/>
      <c r="D113" s="70"/>
      <c r="E113" s="70"/>
      <c r="F113" s="70"/>
      <c r="G113" s="70"/>
      <c r="H113" s="188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</row>
    <row r="114" spans="1:39" ht="12.75">
      <c r="A114" s="70"/>
      <c r="B114" s="70"/>
      <c r="C114" s="70"/>
      <c r="D114" s="70"/>
      <c r="E114" s="70"/>
      <c r="F114" s="70"/>
      <c r="G114" s="70"/>
      <c r="H114" s="188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</row>
    <row r="115" spans="1:39" ht="12.75">
      <c r="A115" s="70"/>
      <c r="B115" s="70"/>
      <c r="C115" s="70"/>
      <c r="D115" s="70"/>
      <c r="E115" s="70"/>
      <c r="F115" s="70"/>
      <c r="G115" s="70"/>
      <c r="H115" s="188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</row>
    <row r="116" spans="1:39" ht="12.75">
      <c r="A116" s="70"/>
      <c r="B116" s="70"/>
      <c r="C116" s="70"/>
      <c r="D116" s="70"/>
      <c r="E116" s="70"/>
      <c r="F116" s="70"/>
      <c r="G116" s="70"/>
      <c r="H116" s="188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</row>
    <row r="117" spans="1:39" ht="12.75">
      <c r="A117" s="70"/>
      <c r="B117" s="70"/>
      <c r="C117" s="70"/>
      <c r="D117" s="70"/>
      <c r="E117" s="70"/>
      <c r="F117" s="70"/>
      <c r="G117" s="70"/>
      <c r="H117" s="188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</row>
    <row r="118" spans="1:39" ht="12.75">
      <c r="A118" s="70"/>
      <c r="B118" s="70"/>
      <c r="C118" s="70"/>
      <c r="D118" s="70"/>
      <c r="E118" s="70"/>
      <c r="F118" s="70"/>
      <c r="G118" s="70"/>
      <c r="H118" s="188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</row>
    <row r="119" spans="1:39" ht="12.75">
      <c r="A119" s="70"/>
      <c r="B119" s="70"/>
      <c r="C119" s="70"/>
      <c r="D119" s="70"/>
      <c r="E119" s="70"/>
      <c r="F119" s="70"/>
      <c r="G119" s="70"/>
      <c r="H119" s="188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</row>
    <row r="120" spans="1:39" ht="12.75">
      <c r="A120" s="70"/>
      <c r="B120" s="70"/>
      <c r="C120" s="70"/>
      <c r="D120" s="70"/>
      <c r="E120" s="70"/>
      <c r="F120" s="70"/>
      <c r="G120" s="70"/>
      <c r="H120" s="188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</row>
    <row r="121" spans="1:39" ht="12.75">
      <c r="A121" s="70"/>
      <c r="B121" s="70"/>
      <c r="C121" s="70"/>
      <c r="D121" s="70"/>
      <c r="E121" s="70"/>
      <c r="F121" s="70"/>
      <c r="G121" s="70"/>
      <c r="H121" s="188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</row>
    <row r="122" spans="1:39" ht="12.75">
      <c r="A122" s="70"/>
      <c r="B122" s="70"/>
      <c r="C122" s="70"/>
      <c r="D122" s="70"/>
      <c r="E122" s="70"/>
      <c r="F122" s="70"/>
      <c r="G122" s="70"/>
      <c r="H122" s="188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</row>
    <row r="123" spans="1:39" ht="12.75">
      <c r="A123" s="70"/>
      <c r="B123" s="70"/>
      <c r="C123" s="70"/>
      <c r="D123" s="70"/>
      <c r="E123" s="70"/>
      <c r="F123" s="70"/>
      <c r="G123" s="70"/>
      <c r="H123" s="188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</row>
    <row r="124" spans="1:39" ht="12.75">
      <c r="A124" s="70"/>
      <c r="B124" s="70"/>
      <c r="C124" s="70"/>
      <c r="D124" s="70"/>
      <c r="E124" s="70"/>
      <c r="F124" s="70"/>
      <c r="G124" s="70"/>
      <c r="H124" s="188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</row>
    <row r="125" spans="1:39" ht="12.75">
      <c r="A125" s="70"/>
      <c r="B125" s="70"/>
      <c r="C125" s="70"/>
      <c r="D125" s="70"/>
      <c r="E125" s="70"/>
      <c r="F125" s="70"/>
      <c r="G125" s="70"/>
      <c r="H125" s="188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</row>
    <row r="126" spans="1:39" ht="12.75">
      <c r="A126" s="70"/>
      <c r="B126" s="70"/>
      <c r="C126" s="70"/>
      <c r="D126" s="70"/>
      <c r="E126" s="70"/>
      <c r="F126" s="70"/>
      <c r="G126" s="70"/>
      <c r="H126" s="188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</row>
    <row r="127" spans="1:39" ht="12.75">
      <c r="A127" s="70"/>
      <c r="B127" s="70"/>
      <c r="C127" s="70"/>
      <c r="D127" s="70"/>
      <c r="E127" s="70"/>
      <c r="F127" s="70"/>
      <c r="G127" s="70"/>
      <c r="H127" s="188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</row>
    <row r="128" spans="1:39" ht="12.75">
      <c r="A128" s="70"/>
      <c r="B128" s="70"/>
      <c r="C128" s="70"/>
      <c r="D128" s="70"/>
      <c r="E128" s="70"/>
      <c r="F128" s="70"/>
      <c r="G128" s="70"/>
      <c r="H128" s="188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</row>
    <row r="129" spans="1:39" ht="12.75">
      <c r="A129" s="70"/>
      <c r="B129" s="70"/>
      <c r="C129" s="70"/>
      <c r="D129" s="70"/>
      <c r="E129" s="70"/>
      <c r="F129" s="70"/>
      <c r="G129" s="70"/>
      <c r="H129" s="188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</row>
    <row r="130" spans="1:39" ht="12.75">
      <c r="A130" s="70"/>
      <c r="B130" s="70"/>
      <c r="C130" s="70"/>
      <c r="D130" s="70"/>
      <c r="E130" s="70"/>
      <c r="F130" s="70"/>
      <c r="G130" s="70"/>
      <c r="H130" s="188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</row>
    <row r="131" spans="1:39" ht="12.75">
      <c r="A131" s="70"/>
      <c r="B131" s="70"/>
      <c r="C131" s="70"/>
      <c r="D131" s="70"/>
      <c r="E131" s="70"/>
      <c r="F131" s="70"/>
      <c r="G131" s="70"/>
      <c r="H131" s="188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</row>
    <row r="132" spans="1:39" ht="12.75">
      <c r="A132" s="70"/>
      <c r="B132" s="70"/>
      <c r="C132" s="70"/>
      <c r="D132" s="70"/>
      <c r="E132" s="70"/>
      <c r="F132" s="70"/>
      <c r="G132" s="70"/>
      <c r="H132" s="188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</row>
    <row r="133" spans="1:39" ht="12.75">
      <c r="A133" s="70"/>
      <c r="B133" s="70"/>
      <c r="C133" s="70"/>
      <c r="D133" s="70"/>
      <c r="E133" s="70"/>
      <c r="F133" s="70"/>
      <c r="G133" s="70"/>
      <c r="H133" s="188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</row>
    <row r="134" spans="1:39" ht="12.75">
      <c r="A134" s="70"/>
      <c r="B134" s="70"/>
      <c r="C134" s="70"/>
      <c r="D134" s="70"/>
      <c r="E134" s="70"/>
      <c r="F134" s="70"/>
      <c r="G134" s="70"/>
      <c r="H134" s="188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</row>
    <row r="135" spans="1:39" ht="12.75">
      <c r="A135" s="70"/>
      <c r="B135" s="70"/>
      <c r="C135" s="70"/>
      <c r="D135" s="70"/>
      <c r="E135" s="70"/>
      <c r="F135" s="70"/>
      <c r="G135" s="70"/>
      <c r="H135" s="188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</row>
    <row r="136" spans="1:39" ht="12.75">
      <c r="A136" s="70"/>
      <c r="B136" s="70"/>
      <c r="C136" s="70"/>
      <c r="D136" s="70"/>
      <c r="E136" s="70"/>
      <c r="F136" s="70"/>
      <c r="G136" s="70"/>
      <c r="H136" s="188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</row>
    <row r="137" spans="1:39" ht="12.75">
      <c r="A137" s="70"/>
      <c r="B137" s="70"/>
      <c r="C137" s="70"/>
      <c r="D137" s="70"/>
      <c r="E137" s="70"/>
      <c r="F137" s="70"/>
      <c r="G137" s="70"/>
      <c r="H137" s="188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</row>
    <row r="138" spans="1:39" ht="12.75">
      <c r="A138" s="70"/>
      <c r="B138" s="70"/>
      <c r="C138" s="70"/>
      <c r="D138" s="70"/>
      <c r="E138" s="70"/>
      <c r="F138" s="70"/>
      <c r="G138" s="70"/>
      <c r="H138" s="188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</row>
    <row r="139" spans="1:39" ht="12.75">
      <c r="A139" s="70"/>
      <c r="B139" s="70"/>
      <c r="C139" s="70"/>
      <c r="D139" s="70"/>
      <c r="E139" s="70"/>
      <c r="F139" s="70"/>
      <c r="G139" s="70"/>
      <c r="H139" s="188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</row>
    <row r="140" spans="1:39" ht="12.75">
      <c r="A140" s="70"/>
      <c r="B140" s="70"/>
      <c r="C140" s="70"/>
      <c r="D140" s="70"/>
      <c r="E140" s="70"/>
      <c r="F140" s="70"/>
      <c r="G140" s="70"/>
      <c r="H140" s="188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</row>
    <row r="141" spans="1:39" ht="12.75">
      <c r="A141" s="70"/>
      <c r="B141" s="70"/>
      <c r="C141" s="70"/>
      <c r="D141" s="70"/>
      <c r="E141" s="70"/>
      <c r="F141" s="70"/>
      <c r="G141" s="70"/>
      <c r="H141" s="188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</row>
    <row r="142" spans="1:39" ht="12.75">
      <c r="A142" s="70"/>
      <c r="B142" s="70"/>
      <c r="C142" s="70"/>
      <c r="D142" s="70"/>
      <c r="E142" s="70"/>
      <c r="F142" s="70"/>
      <c r="G142" s="70"/>
      <c r="H142" s="188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</row>
    <row r="143" spans="1:39" ht="12.75">
      <c r="A143" s="70"/>
      <c r="B143" s="70"/>
      <c r="C143" s="70"/>
      <c r="D143" s="70"/>
      <c r="E143" s="70"/>
      <c r="F143" s="70"/>
      <c r="G143" s="70"/>
      <c r="H143" s="188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</row>
    <row r="144" spans="1:39" ht="12.75">
      <c r="A144" s="70"/>
      <c r="B144" s="70"/>
      <c r="C144" s="70"/>
      <c r="D144" s="70"/>
      <c r="E144" s="70"/>
      <c r="F144" s="70"/>
      <c r="G144" s="70"/>
      <c r="H144" s="188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</row>
    <row r="145" spans="1:39" ht="12.75">
      <c r="A145" s="70"/>
      <c r="B145" s="70"/>
      <c r="C145" s="70"/>
      <c r="D145" s="70"/>
      <c r="E145" s="70"/>
      <c r="F145" s="70"/>
      <c r="G145" s="70"/>
      <c r="H145" s="188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</row>
    <row r="146" spans="1:39" ht="12.75">
      <c r="A146" s="70"/>
      <c r="B146" s="70"/>
      <c r="C146" s="70"/>
      <c r="D146" s="70"/>
      <c r="E146" s="70"/>
      <c r="F146" s="70"/>
      <c r="G146" s="70"/>
      <c r="H146" s="188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</row>
    <row r="147" spans="1:39" ht="12.75">
      <c r="A147" s="70"/>
      <c r="B147" s="70"/>
      <c r="C147" s="70"/>
      <c r="D147" s="70"/>
      <c r="E147" s="70"/>
      <c r="F147" s="70"/>
      <c r="G147" s="70"/>
      <c r="H147" s="188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</row>
    <row r="148" spans="1:39" ht="12.75">
      <c r="A148" s="70"/>
      <c r="B148" s="70"/>
      <c r="C148" s="70"/>
      <c r="D148" s="70"/>
      <c r="E148" s="70"/>
      <c r="F148" s="70"/>
      <c r="G148" s="70"/>
      <c r="H148" s="188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</row>
    <row r="149" spans="1:39" ht="12.75">
      <c r="A149" s="70"/>
      <c r="B149" s="70"/>
      <c r="C149" s="70"/>
      <c r="D149" s="70"/>
      <c r="E149" s="70"/>
      <c r="F149" s="70"/>
      <c r="G149" s="70"/>
      <c r="H149" s="188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</row>
    <row r="150" spans="1:39" ht="12.75">
      <c r="A150" s="70"/>
      <c r="B150" s="70"/>
      <c r="C150" s="70"/>
      <c r="D150" s="70"/>
      <c r="E150" s="70"/>
      <c r="F150" s="70"/>
      <c r="G150" s="70"/>
      <c r="H150" s="188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</row>
    <row r="151" spans="1:39" ht="12.75">
      <c r="A151" s="70"/>
      <c r="B151" s="70"/>
      <c r="C151" s="70"/>
      <c r="D151" s="70"/>
      <c r="E151" s="70"/>
      <c r="F151" s="70"/>
      <c r="G151" s="70"/>
      <c r="H151" s="188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</row>
    <row r="152" spans="1:39" ht="12.75">
      <c r="A152" s="70"/>
      <c r="B152" s="70"/>
      <c r="C152" s="70"/>
      <c r="D152" s="70"/>
      <c r="E152" s="70"/>
      <c r="F152" s="70"/>
      <c r="G152" s="70"/>
      <c r="H152" s="188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</row>
    <row r="153" spans="1:39" ht="12.75">
      <c r="A153" s="70"/>
      <c r="B153" s="70"/>
      <c r="C153" s="70"/>
      <c r="D153" s="70"/>
      <c r="E153" s="70"/>
      <c r="F153" s="70"/>
      <c r="G153" s="70"/>
      <c r="H153" s="188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</row>
    <row r="154" spans="1:39" ht="12.75">
      <c r="A154" s="70"/>
      <c r="B154" s="70"/>
      <c r="C154" s="70"/>
      <c r="D154" s="70"/>
      <c r="E154" s="70"/>
      <c r="F154" s="70"/>
      <c r="G154" s="70"/>
      <c r="H154" s="188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</row>
    <row r="155" spans="1:39" ht="12.75">
      <c r="A155" s="70"/>
      <c r="B155" s="70"/>
      <c r="C155" s="70"/>
      <c r="D155" s="70"/>
      <c r="E155" s="70"/>
      <c r="F155" s="70"/>
      <c r="G155" s="70"/>
      <c r="H155" s="188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</row>
    <row r="156" spans="1:39" ht="12.75">
      <c r="A156" s="70"/>
      <c r="B156" s="70"/>
      <c r="C156" s="70"/>
      <c r="D156" s="70"/>
      <c r="E156" s="70"/>
      <c r="F156" s="70"/>
      <c r="G156" s="70"/>
      <c r="H156" s="188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</row>
    <row r="157" spans="1:39" ht="12.75">
      <c r="A157" s="70"/>
      <c r="B157" s="70"/>
      <c r="C157" s="70"/>
      <c r="D157" s="70"/>
      <c r="E157" s="70"/>
      <c r="F157" s="70"/>
      <c r="G157" s="70"/>
      <c r="H157" s="188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</row>
    <row r="158" spans="1:39" ht="12.75">
      <c r="A158" s="70"/>
      <c r="B158" s="70"/>
      <c r="C158" s="70"/>
      <c r="D158" s="70"/>
      <c r="E158" s="70"/>
      <c r="F158" s="70"/>
      <c r="G158" s="70"/>
      <c r="H158" s="188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</row>
    <row r="159" spans="1:39" ht="12.75">
      <c r="A159" s="70"/>
      <c r="B159" s="70"/>
      <c r="C159" s="70"/>
      <c r="D159" s="70"/>
      <c r="E159" s="70"/>
      <c r="F159" s="70"/>
      <c r="G159" s="70"/>
      <c r="H159" s="188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</row>
    <row r="160" spans="1:39" ht="12.75">
      <c r="A160" s="70"/>
      <c r="B160" s="70"/>
      <c r="C160" s="70"/>
      <c r="D160" s="70"/>
      <c r="E160" s="70"/>
      <c r="F160" s="70"/>
      <c r="G160" s="70"/>
      <c r="H160" s="188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</row>
    <row r="161" spans="1:39" ht="12.75">
      <c r="A161" s="70"/>
      <c r="B161" s="70"/>
      <c r="C161" s="70"/>
      <c r="D161" s="70"/>
      <c r="E161" s="70"/>
      <c r="F161" s="70"/>
      <c r="G161" s="70"/>
      <c r="H161" s="188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</row>
    <row r="162" spans="1:39" ht="12.75">
      <c r="A162" s="70"/>
      <c r="B162" s="70"/>
      <c r="C162" s="70"/>
      <c r="D162" s="70"/>
      <c r="E162" s="70"/>
      <c r="F162" s="70"/>
      <c r="G162" s="70"/>
      <c r="H162" s="188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</row>
    <row r="163" spans="1:39" ht="12.75">
      <c r="A163" s="70"/>
      <c r="B163" s="70"/>
      <c r="C163" s="70"/>
      <c r="D163" s="70"/>
      <c r="E163" s="70"/>
      <c r="F163" s="70"/>
      <c r="G163" s="70"/>
      <c r="H163" s="188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</row>
    <row r="164" spans="1:39" ht="12.75">
      <c r="A164" s="70"/>
      <c r="B164" s="70"/>
      <c r="C164" s="70"/>
      <c r="D164" s="70"/>
      <c r="E164" s="70"/>
      <c r="F164" s="70"/>
      <c r="G164" s="70"/>
      <c r="H164" s="188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</row>
    <row r="165" spans="1:39" ht="12.75">
      <c r="A165" s="70"/>
      <c r="B165" s="70"/>
      <c r="C165" s="70"/>
      <c r="D165" s="70"/>
      <c r="E165" s="70"/>
      <c r="F165" s="70"/>
      <c r="G165" s="70"/>
      <c r="H165" s="188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</row>
    <row r="166" spans="1:39" ht="12.75">
      <c r="A166" s="70"/>
      <c r="B166" s="70"/>
      <c r="C166" s="70"/>
      <c r="D166" s="70"/>
      <c r="E166" s="70"/>
      <c r="F166" s="70"/>
      <c r="G166" s="70"/>
      <c r="H166" s="188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</row>
    <row r="167" spans="1:39" ht="12.75">
      <c r="A167" s="70"/>
      <c r="B167" s="70"/>
      <c r="C167" s="70"/>
      <c r="D167" s="70"/>
      <c r="E167" s="70"/>
      <c r="F167" s="70"/>
      <c r="G167" s="70"/>
      <c r="H167" s="188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</row>
    <row r="168" spans="1:39" ht="12.75">
      <c r="A168" s="70"/>
      <c r="B168" s="70"/>
      <c r="C168" s="70"/>
      <c r="D168" s="70"/>
      <c r="E168" s="70"/>
      <c r="F168" s="70"/>
      <c r="G168" s="70"/>
      <c r="H168" s="188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</row>
    <row r="169" spans="1:39" ht="12.75">
      <c r="A169" s="70"/>
      <c r="B169" s="70"/>
      <c r="C169" s="70"/>
      <c r="D169" s="70"/>
      <c r="E169" s="70"/>
      <c r="F169" s="70"/>
      <c r="G169" s="70"/>
      <c r="H169" s="188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</row>
    <row r="170" spans="1:39" ht="12.75">
      <c r="A170" s="70"/>
      <c r="B170" s="70"/>
      <c r="C170" s="70"/>
      <c r="D170" s="70"/>
      <c r="E170" s="70"/>
      <c r="F170" s="70"/>
      <c r="G170" s="70"/>
      <c r="H170" s="188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</row>
    <row r="171" spans="1:39" ht="12.75">
      <c r="A171" s="70"/>
      <c r="B171" s="70"/>
      <c r="C171" s="70"/>
      <c r="D171" s="70"/>
      <c r="E171" s="70"/>
      <c r="F171" s="70"/>
      <c r="G171" s="70"/>
      <c r="H171" s="188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</row>
    <row r="172" spans="1:39" ht="12.75">
      <c r="A172" s="70"/>
      <c r="B172" s="70"/>
      <c r="C172" s="70"/>
      <c r="D172" s="70"/>
      <c r="E172" s="70"/>
      <c r="F172" s="70"/>
      <c r="G172" s="70"/>
      <c r="H172" s="188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</row>
    <row r="173" spans="1:39" ht="12.75">
      <c r="A173" s="70"/>
      <c r="B173" s="70"/>
      <c r="C173" s="70"/>
      <c r="D173" s="70"/>
      <c r="E173" s="70"/>
      <c r="F173" s="70"/>
      <c r="G173" s="70"/>
      <c r="H173" s="188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</row>
    <row r="174" spans="1:39" ht="12.75">
      <c r="A174" s="70"/>
      <c r="B174" s="70"/>
      <c r="C174" s="70"/>
      <c r="D174" s="70"/>
      <c r="E174" s="70"/>
      <c r="F174" s="70"/>
      <c r="G174" s="70"/>
      <c r="H174" s="188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</row>
    <row r="175" spans="1:39" ht="12.75">
      <c r="A175" s="70"/>
      <c r="B175" s="70"/>
      <c r="C175" s="70"/>
      <c r="D175" s="70"/>
      <c r="E175" s="70"/>
      <c r="F175" s="70"/>
      <c r="G175" s="70"/>
      <c r="H175" s="188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</row>
    <row r="176" spans="1:39" ht="12.75">
      <c r="A176" s="70"/>
      <c r="B176" s="70"/>
      <c r="C176" s="70"/>
      <c r="D176" s="70"/>
      <c r="E176" s="70"/>
      <c r="F176" s="70"/>
      <c r="G176" s="70"/>
      <c r="H176" s="188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</row>
    <row r="177" spans="1:39" ht="12.75">
      <c r="A177" s="70"/>
      <c r="B177" s="70"/>
      <c r="C177" s="70"/>
      <c r="D177" s="70"/>
      <c r="E177" s="70"/>
      <c r="F177" s="70"/>
      <c r="G177" s="70"/>
      <c r="H177" s="188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</row>
    <row r="178" spans="1:39" ht="12.75">
      <c r="A178" s="70"/>
      <c r="B178" s="70"/>
      <c r="C178" s="70"/>
      <c r="D178" s="70"/>
      <c r="E178" s="70"/>
      <c r="F178" s="70"/>
      <c r="G178" s="70"/>
      <c r="H178" s="188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</row>
    <row r="179" spans="1:39" ht="12.75">
      <c r="A179" s="70"/>
      <c r="B179" s="70"/>
      <c r="C179" s="70"/>
      <c r="D179" s="70"/>
      <c r="E179" s="70"/>
      <c r="F179" s="70"/>
      <c r="G179" s="70"/>
      <c r="H179" s="188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</row>
    <row r="180" spans="1:39" ht="12.75">
      <c r="A180" s="70"/>
      <c r="B180" s="70"/>
      <c r="C180" s="70"/>
      <c r="D180" s="70"/>
      <c r="E180" s="70"/>
      <c r="F180" s="70"/>
      <c r="G180" s="70"/>
      <c r="H180" s="188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</row>
    <row r="181" spans="1:39" ht="12.75">
      <c r="A181" s="70"/>
      <c r="B181" s="70"/>
      <c r="C181" s="70"/>
      <c r="D181" s="70"/>
      <c r="E181" s="70"/>
      <c r="F181" s="70"/>
      <c r="G181" s="70"/>
      <c r="H181" s="188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</row>
    <row r="182" spans="1:39" ht="12.75">
      <c r="A182" s="70"/>
      <c r="B182" s="70"/>
      <c r="C182" s="70"/>
      <c r="D182" s="70"/>
      <c r="E182" s="70"/>
      <c r="F182" s="70"/>
      <c r="G182" s="70"/>
      <c r="H182" s="188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</row>
    <row r="183" spans="1:39" ht="12.75">
      <c r="A183" s="70"/>
      <c r="B183" s="70"/>
      <c r="C183" s="70"/>
      <c r="D183" s="70"/>
      <c r="E183" s="70"/>
      <c r="F183" s="70"/>
      <c r="G183" s="70"/>
      <c r="H183" s="188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</row>
    <row r="184" spans="1:39" ht="12.75">
      <c r="A184" s="70"/>
      <c r="B184" s="70"/>
      <c r="C184" s="70"/>
      <c r="D184" s="70"/>
      <c r="E184" s="70"/>
      <c r="F184" s="70"/>
      <c r="G184" s="70"/>
      <c r="H184" s="188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</row>
    <row r="185" spans="1:39" ht="12.75">
      <c r="A185" s="70"/>
      <c r="B185" s="70"/>
      <c r="C185" s="70"/>
      <c r="D185" s="70"/>
      <c r="E185" s="70"/>
      <c r="F185" s="70"/>
      <c r="G185" s="70"/>
      <c r="H185" s="188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</row>
    <row r="186" spans="1:39" ht="12.75">
      <c r="A186" s="70"/>
      <c r="B186" s="70"/>
      <c r="C186" s="70"/>
      <c r="D186" s="70"/>
      <c r="E186" s="70"/>
      <c r="F186" s="70"/>
      <c r="G186" s="70"/>
      <c r="H186" s="188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</row>
    <row r="187" spans="1:39" ht="12.75">
      <c r="A187" s="70"/>
      <c r="B187" s="70"/>
      <c r="C187" s="70"/>
      <c r="D187" s="70"/>
      <c r="E187" s="70"/>
      <c r="F187" s="70"/>
      <c r="G187" s="70"/>
      <c r="H187" s="188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</row>
    <row r="188" spans="1:39" ht="12.75">
      <c r="A188" s="70"/>
      <c r="B188" s="70"/>
      <c r="C188" s="70"/>
      <c r="D188" s="70"/>
      <c r="E188" s="70"/>
      <c r="F188" s="70"/>
      <c r="G188" s="70"/>
      <c r="H188" s="188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</row>
    <row r="189" spans="1:39" ht="12.75">
      <c r="A189" s="70"/>
      <c r="B189" s="70"/>
      <c r="C189" s="70"/>
      <c r="D189" s="70"/>
      <c r="E189" s="70"/>
      <c r="F189" s="70"/>
      <c r="G189" s="70"/>
      <c r="H189" s="188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</row>
    <row r="190" spans="1:39" ht="12.75">
      <c r="A190" s="70"/>
      <c r="B190" s="70"/>
      <c r="C190" s="70"/>
      <c r="D190" s="70"/>
      <c r="E190" s="70"/>
      <c r="F190" s="70"/>
      <c r="G190" s="70"/>
      <c r="H190" s="188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</row>
    <row r="191" spans="1:39" ht="12.75">
      <c r="A191" s="70"/>
      <c r="B191" s="70"/>
      <c r="C191" s="70"/>
      <c r="D191" s="70"/>
      <c r="E191" s="70"/>
      <c r="F191" s="70"/>
      <c r="G191" s="70"/>
      <c r="H191" s="188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</row>
    <row r="192" spans="1:39" ht="12.75">
      <c r="A192" s="70"/>
      <c r="B192" s="70"/>
      <c r="C192" s="70"/>
      <c r="D192" s="70"/>
      <c r="E192" s="70"/>
      <c r="F192" s="70"/>
      <c r="G192" s="70"/>
      <c r="H192" s="188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</row>
    <row r="193" spans="1:39" ht="12.75">
      <c r="A193" s="70"/>
      <c r="B193" s="70"/>
      <c r="C193" s="70"/>
      <c r="D193" s="70"/>
      <c r="E193" s="70"/>
      <c r="F193" s="70"/>
      <c r="G193" s="70"/>
      <c r="H193" s="188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</row>
    <row r="194" spans="1:39" ht="12.75">
      <c r="A194" s="70"/>
      <c r="B194" s="70"/>
      <c r="C194" s="70"/>
      <c r="D194" s="70"/>
      <c r="E194" s="70"/>
      <c r="F194" s="70"/>
      <c r="G194" s="70"/>
      <c r="H194" s="188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</row>
    <row r="195" spans="1:39" ht="12.75">
      <c r="A195" s="70"/>
      <c r="B195" s="70"/>
      <c r="C195" s="70"/>
      <c r="D195" s="70"/>
      <c r="E195" s="70"/>
      <c r="F195" s="70"/>
      <c r="G195" s="70"/>
      <c r="H195" s="188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</row>
    <row r="196" spans="1:39" ht="12.75">
      <c r="A196" s="70"/>
      <c r="B196" s="70"/>
      <c r="C196" s="70"/>
      <c r="D196" s="70"/>
      <c r="E196" s="70"/>
      <c r="F196" s="70"/>
      <c r="G196" s="70"/>
      <c r="H196" s="188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</row>
    <row r="197" spans="1:39" ht="12.75">
      <c r="A197" s="70"/>
      <c r="B197" s="70"/>
      <c r="C197" s="70"/>
      <c r="D197" s="70"/>
      <c r="E197" s="70"/>
      <c r="F197" s="70"/>
      <c r="G197" s="70"/>
      <c r="H197" s="188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</row>
    <row r="198" spans="1:39" ht="12.75">
      <c r="A198" s="70"/>
      <c r="B198" s="70"/>
      <c r="C198" s="70"/>
      <c r="D198" s="70"/>
      <c r="E198" s="70"/>
      <c r="F198" s="70"/>
      <c r="G198" s="70"/>
      <c r="H198" s="188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</row>
    <row r="199" spans="1:39" ht="12.75">
      <c r="A199" s="70"/>
      <c r="B199" s="70"/>
      <c r="C199" s="70"/>
      <c r="D199" s="70"/>
      <c r="E199" s="70"/>
      <c r="F199" s="70"/>
      <c r="G199" s="70"/>
      <c r="H199" s="188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</row>
    <row r="200" spans="1:39" ht="12.75">
      <c r="A200" s="70"/>
      <c r="B200" s="70"/>
      <c r="C200" s="70"/>
      <c r="D200" s="70"/>
      <c r="E200" s="70"/>
      <c r="F200" s="70"/>
      <c r="G200" s="70"/>
      <c r="H200" s="188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</row>
    <row r="201" spans="1:39" ht="12.75">
      <c r="A201" s="70"/>
      <c r="B201" s="70"/>
      <c r="C201" s="70"/>
      <c r="D201" s="70"/>
      <c r="E201" s="70"/>
      <c r="F201" s="70"/>
      <c r="G201" s="70"/>
      <c r="H201" s="188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</row>
    <row r="202" spans="1:39" ht="12.75">
      <c r="A202" s="70"/>
      <c r="B202" s="70"/>
      <c r="C202" s="70"/>
      <c r="D202" s="70"/>
      <c r="E202" s="70"/>
      <c r="F202" s="70"/>
      <c r="G202" s="70"/>
      <c r="H202" s="188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</row>
    <row r="203" spans="1:39" ht="12.75">
      <c r="A203" s="70"/>
      <c r="B203" s="70"/>
      <c r="C203" s="70"/>
      <c r="D203" s="70"/>
      <c r="E203" s="70"/>
      <c r="F203" s="70"/>
      <c r="G203" s="70"/>
      <c r="H203" s="188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</row>
    <row r="204" spans="1:39" ht="12.75">
      <c r="A204" s="70"/>
      <c r="B204" s="70"/>
      <c r="C204" s="70"/>
      <c r="D204" s="70"/>
      <c r="E204" s="70"/>
      <c r="F204" s="70"/>
      <c r="G204" s="70"/>
      <c r="H204" s="188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</row>
    <row r="205" spans="1:39" ht="12.75">
      <c r="A205" s="70"/>
      <c r="B205" s="70"/>
      <c r="C205" s="70"/>
      <c r="D205" s="70"/>
      <c r="E205" s="70"/>
      <c r="F205" s="70"/>
      <c r="G205" s="70"/>
      <c r="H205" s="188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</row>
    <row r="206" spans="1:39" ht="12.75">
      <c r="A206" s="70"/>
      <c r="B206" s="70"/>
      <c r="C206" s="70"/>
      <c r="D206" s="70"/>
      <c r="E206" s="70"/>
      <c r="F206" s="70"/>
      <c r="G206" s="70"/>
      <c r="H206" s="188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</row>
    <row r="207" spans="1:39" ht="12.75">
      <c r="A207" s="70"/>
      <c r="B207" s="70"/>
      <c r="C207" s="70"/>
      <c r="D207" s="70"/>
      <c r="E207" s="70"/>
      <c r="F207" s="70"/>
      <c r="G207" s="70"/>
      <c r="H207" s="188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</row>
    <row r="208" spans="1:39" ht="12.75">
      <c r="A208" s="70"/>
      <c r="B208" s="70"/>
      <c r="C208" s="70"/>
      <c r="D208" s="70"/>
      <c r="E208" s="70"/>
      <c r="F208" s="70"/>
      <c r="G208" s="70"/>
      <c r="H208" s="188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</row>
    <row r="209" spans="1:39" ht="12.75">
      <c r="A209" s="70"/>
      <c r="B209" s="70"/>
      <c r="C209" s="70"/>
      <c r="D209" s="70"/>
      <c r="E209" s="70"/>
      <c r="F209" s="70"/>
      <c r="G209" s="70"/>
      <c r="H209" s="188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</row>
    <row r="210" spans="1:39" ht="12.75">
      <c r="A210" s="70"/>
      <c r="B210" s="70"/>
      <c r="C210" s="70"/>
      <c r="D210" s="70"/>
      <c r="E210" s="70"/>
      <c r="F210" s="70"/>
      <c r="G210" s="70"/>
      <c r="H210" s="188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</row>
    <row r="211" spans="1:39" ht="12.75">
      <c r="A211" s="70"/>
      <c r="B211" s="70"/>
      <c r="C211" s="70"/>
      <c r="D211" s="70"/>
      <c r="E211" s="70"/>
      <c r="F211" s="70"/>
      <c r="G211" s="70"/>
      <c r="H211" s="188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</row>
    <row r="212" spans="1:39" ht="12.75">
      <c r="A212" s="70"/>
      <c r="B212" s="70"/>
      <c r="C212" s="70"/>
      <c r="D212" s="70"/>
      <c r="E212" s="70"/>
      <c r="F212" s="70"/>
      <c r="G212" s="70"/>
      <c r="H212" s="188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</row>
    <row r="213" spans="1:39" ht="12.75">
      <c r="A213" s="70"/>
      <c r="B213" s="70"/>
      <c r="C213" s="70"/>
      <c r="D213" s="70"/>
      <c r="E213" s="70"/>
      <c r="F213" s="70"/>
      <c r="G213" s="70"/>
      <c r="H213" s="188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</row>
    <row r="214" spans="1:39" ht="12.75">
      <c r="A214" s="70"/>
      <c r="B214" s="70"/>
      <c r="C214" s="70"/>
      <c r="D214" s="70"/>
      <c r="E214" s="70"/>
      <c r="F214" s="70"/>
      <c r="G214" s="70"/>
      <c r="H214" s="188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</row>
    <row r="215" spans="1:39" ht="12.75">
      <c r="A215" s="70"/>
      <c r="B215" s="70"/>
      <c r="C215" s="70"/>
      <c r="D215" s="70"/>
      <c r="E215" s="70"/>
      <c r="F215" s="70"/>
      <c r="G215" s="70"/>
      <c r="H215" s="188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</row>
    <row r="216" spans="1:39" ht="12.75">
      <c r="A216" s="70"/>
      <c r="B216" s="70"/>
      <c r="C216" s="70"/>
      <c r="D216" s="70"/>
      <c r="E216" s="70"/>
      <c r="F216" s="70"/>
      <c r="G216" s="70"/>
      <c r="H216" s="188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</row>
  </sheetData>
  <sheetProtection password="CA59" sheet="1" selectLockedCells="1"/>
  <mergeCells count="15">
    <mergeCell ref="E18:G19"/>
    <mergeCell ref="K10:M10"/>
    <mergeCell ref="K11:M11"/>
    <mergeCell ref="J18:M18"/>
    <mergeCell ref="J19:M19"/>
    <mergeCell ref="J20:M20"/>
    <mergeCell ref="J21:M21"/>
    <mergeCell ref="K12:M12"/>
    <mergeCell ref="J10:J11"/>
    <mergeCell ref="B18:B19"/>
    <mergeCell ref="B2:G2"/>
    <mergeCell ref="K4:L5"/>
    <mergeCell ref="K14:L15"/>
    <mergeCell ref="J7:M8"/>
    <mergeCell ref="K9:M9"/>
  </mergeCells>
  <dataValidations count="7">
    <dataValidation errorStyle="warning" type="list" allowBlank="1" showInputMessage="1" showErrorMessage="1" promptTitle="LIEU DE L'EPREUVE" prompt="Sélectionner dans la liste proposée le club où se déroule la compétition" errorTitle="ATTENTION" error="Cette saisie n'appartient pas à la liste proposée !" sqref="K9:M9">
      <formula1>lieux</formula1>
    </dataValidation>
    <dataValidation type="list" allowBlank="1" showInputMessage="1" showErrorMessage="1" promptTitle="Mode de jeu" prompt="Sélectionner un mode de jeu" sqref="D5">
      <formula1>mode_de_jeu</formula1>
    </dataValidation>
    <dataValidation type="list" allowBlank="1" showInputMessage="1" showErrorMessage="1" promptTitle="Catégorie" prompt="Sélectionner une catégorie dans la liste proposée" sqref="E5">
      <formula1>categorie</formula1>
    </dataValidation>
    <dataValidation type="list" allowBlank="1" showInputMessage="1" showErrorMessage="1" sqref="F5">
      <formula1>tour</formula1>
    </dataValidation>
    <dataValidation errorStyle="warning" type="list" allowBlank="1" showInputMessage="1" showErrorMessage="1" promptTitle="Identité du joueur" prompt="Sélectionner dans la liste le joueur tête de série de la poule A" errorTitle="ALARME" error="Attention le nom du joueur saisi n'appartient pas à la liste proposée." sqref="D10:D12 D14:D16">
      <formula1>Joueur</formula1>
    </dataValidation>
    <dataValidation errorStyle="warning" type="list" allowBlank="1" showInputMessage="1" showErrorMessage="1" promptTitle="Directeur de jeu" prompt="Sélectionner le directeur de jeu dans la liste proposée, si ce dernier est licencié FFB. Sinon saisissez manuellement ses nom et prénom." errorTitle="ALARME" error="Attention le nom du joueur saisi n'appartient pas à la liste proposée." sqref="B5">
      <formula1>Joueur</formula1>
    </dataValidation>
    <dataValidation type="list" allowBlank="1" showInputMessage="1" showErrorMessage="1" promptTitle="Format billard" prompt="Sélectionner une catégorie dans la liste proposée" errorTitle="ERREUR" error="Format inexistant" sqref="E7">
      <formula1>format_billard</formula1>
    </dataValidation>
  </dataValidations>
  <hyperlinks>
    <hyperlink ref="K4:L5" location="'Phase de poule'!A1" display="Phase de poule"/>
    <hyperlink ref="K14:L15" location="'Feuille de match'!A1" display="Feuille de match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A20"/>
  <sheetViews>
    <sheetView showGridLines="0" showRowColHeaders="0" zoomScale="120" zoomScaleNormal="120" zoomScalePageLayoutView="0" workbookViewId="0" topLeftCell="A1">
      <selection activeCell="D12" sqref="D12"/>
    </sheetView>
  </sheetViews>
  <sheetFormatPr defaultColWidth="11.5" defaultRowHeight="12.75"/>
  <cols>
    <col min="1" max="1" width="8" style="77" customWidth="1"/>
    <col min="2" max="2" width="7.16015625" style="77" customWidth="1"/>
    <col min="3" max="3" width="32" style="77" customWidth="1"/>
    <col min="4" max="5" width="12.5" style="77" customWidth="1"/>
    <col min="6" max="6" width="12" style="77" customWidth="1"/>
    <col min="7" max="8" width="12.5" style="77" customWidth="1"/>
    <col min="9" max="9" width="11.5" style="77" customWidth="1"/>
    <col min="10" max="11" width="11.5" style="72" customWidth="1"/>
    <col min="12" max="13" width="4.83203125" style="72" customWidth="1"/>
    <col min="14" max="16" width="11.5" style="72" hidden="1" customWidth="1"/>
    <col min="17" max="20" width="11.5" style="77" hidden="1" customWidth="1"/>
    <col min="21" max="21" width="11.5" style="77" customWidth="1"/>
    <col min="22" max="16384" width="11.5" style="77" customWidth="1"/>
  </cols>
  <sheetData>
    <row r="1" spans="1:13" s="72" customFormat="1" ht="51.75" customHeight="1">
      <c r="A1" s="319" t="s">
        <v>148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</row>
    <row r="2" spans="1:27" ht="21.75" customHeight="1">
      <c r="A2" s="73"/>
      <c r="B2" s="72"/>
      <c r="C2" s="74"/>
      <c r="D2" s="158"/>
      <c r="E2" s="73"/>
      <c r="F2" s="74"/>
      <c r="G2" s="74"/>
      <c r="H2" s="74"/>
      <c r="I2" s="312" t="s">
        <v>147</v>
      </c>
      <c r="J2" s="312"/>
      <c r="K2" s="312"/>
      <c r="L2" s="312"/>
      <c r="M2" s="312"/>
      <c r="Q2" s="72"/>
      <c r="R2" s="72"/>
      <c r="S2" s="72"/>
      <c r="T2" s="72"/>
      <c r="U2" s="72"/>
      <c r="V2" s="72"/>
      <c r="Z2" s="72"/>
      <c r="AA2" s="72"/>
    </row>
    <row r="3" spans="1:27" s="79" customFormat="1" ht="39.75" customHeight="1">
      <c r="A3" s="85" t="s">
        <v>4</v>
      </c>
      <c r="B3" s="159" t="s">
        <v>121</v>
      </c>
      <c r="C3" s="85" t="s">
        <v>120</v>
      </c>
      <c r="D3" s="159" t="s">
        <v>7</v>
      </c>
      <c r="E3" s="159" t="s">
        <v>8</v>
      </c>
      <c r="F3" s="159" t="s">
        <v>9</v>
      </c>
      <c r="G3" s="159" t="s">
        <v>10</v>
      </c>
      <c r="H3" s="160" t="s">
        <v>11</v>
      </c>
      <c r="I3" s="313"/>
      <c r="J3" s="313"/>
      <c r="K3" s="313"/>
      <c r="L3" s="313"/>
      <c r="M3" s="313"/>
      <c r="N3" s="161"/>
      <c r="S3" s="161"/>
      <c r="T3" s="161"/>
      <c r="U3" s="161"/>
      <c r="V3" s="161"/>
      <c r="Z3" s="161"/>
      <c r="AA3" s="161"/>
    </row>
    <row r="4" spans="1:21" ht="19.5" customHeight="1">
      <c r="A4" s="322">
        <v>1</v>
      </c>
      <c r="B4" s="310" t="s">
        <v>111</v>
      </c>
      <c r="C4" s="162">
        <f>IF(Participants!D11&lt;&gt;"",Participants!D11,"")</f>
      </c>
      <c r="D4" s="93"/>
      <c r="E4" s="93"/>
      <c r="F4" s="93"/>
      <c r="G4" s="90"/>
      <c r="H4" s="82">
        <f>_xlfn.IFERROR(D4/E4,"")</f>
      </c>
      <c r="I4" s="313"/>
      <c r="J4" s="313"/>
      <c r="K4" s="313"/>
      <c r="L4" s="313"/>
      <c r="M4" s="313"/>
      <c r="N4" s="161"/>
      <c r="P4" s="170"/>
      <c r="Q4" s="314" t="s">
        <v>143</v>
      </c>
      <c r="R4" s="314"/>
      <c r="S4" s="161"/>
      <c r="T4" s="161"/>
      <c r="U4" s="161"/>
    </row>
    <row r="5" spans="1:21" ht="19.5" customHeight="1">
      <c r="A5" s="323"/>
      <c r="B5" s="311"/>
      <c r="C5" s="163">
        <f>IF(Participants!D12&lt;&gt;"",Participants!D12,"")</f>
      </c>
      <c r="D5" s="94"/>
      <c r="E5" s="126">
        <f>IF(E4&lt;&gt;"",E4,"")</f>
      </c>
      <c r="F5" s="94"/>
      <c r="G5" s="126">
        <f>IF(G4&lt;&gt;"",2-G4,"")</f>
      </c>
      <c r="H5" s="84">
        <f>_xlfn.IFERROR(D5/E5,"")</f>
      </c>
      <c r="N5" s="161"/>
      <c r="O5" s="161" t="s">
        <v>141</v>
      </c>
      <c r="P5" s="161"/>
      <c r="Q5" s="315">
        <f>IF(H4&gt;H5,C4,IF(H4=H5,IF(OR(F4&gt;F5,F4=F5),C4,C5),C5))</f>
      </c>
      <c r="R5" s="315"/>
      <c r="S5" s="315"/>
      <c r="T5" s="161"/>
      <c r="U5" s="161"/>
    </row>
    <row r="6" spans="1:21" ht="19.5" customHeight="1">
      <c r="A6" s="323"/>
      <c r="B6" s="310" t="s">
        <v>112</v>
      </c>
      <c r="C6" s="162">
        <f>IF(Participants!D15&lt;&gt;"",Participants!D15,"")</f>
      </c>
      <c r="D6" s="93"/>
      <c r="E6" s="93"/>
      <c r="F6" s="93"/>
      <c r="G6" s="90"/>
      <c r="H6" s="82">
        <f>_xlfn.IFERROR(D6/E6,"")</f>
      </c>
      <c r="N6" s="161"/>
      <c r="O6" s="161"/>
      <c r="P6" s="161"/>
      <c r="Q6" s="79"/>
      <c r="R6" s="161"/>
      <c r="S6" s="161"/>
      <c r="T6" s="161"/>
      <c r="U6" s="161"/>
    </row>
    <row r="7" spans="1:21" ht="19.5" customHeight="1">
      <c r="A7" s="324"/>
      <c r="B7" s="311"/>
      <c r="C7" s="163">
        <f>IF(Participants!D16&lt;&gt;"",Participants!D16,"")</f>
      </c>
      <c r="D7" s="94"/>
      <c r="E7" s="126">
        <f>IF(E6&lt;&gt;"",E6,"")</f>
      </c>
      <c r="F7" s="94"/>
      <c r="G7" s="126">
        <f>IF(G6&lt;&gt;"",2-G6,"")</f>
      </c>
      <c r="H7" s="84">
        <f>_xlfn.IFERROR(D7/E7,"")</f>
      </c>
      <c r="J7" s="316" t="s">
        <v>127</v>
      </c>
      <c r="K7" s="317"/>
      <c r="L7" s="318"/>
      <c r="N7" s="161"/>
      <c r="O7" s="161" t="s">
        <v>142</v>
      </c>
      <c r="P7" s="161"/>
      <c r="Q7" s="315">
        <f>IF(H6&gt;H7,C6,IF(H6=H7,IF(OR(F6&gt;F7,F6=F7),C6,C7),C7))</f>
      </c>
      <c r="R7" s="315"/>
      <c r="S7" s="315"/>
      <c r="T7" s="161"/>
      <c r="U7" s="161"/>
    </row>
    <row r="8" spans="4:21" ht="19.5" customHeight="1">
      <c r="D8" s="95"/>
      <c r="E8" s="95"/>
      <c r="F8" s="95"/>
      <c r="G8" s="91"/>
      <c r="J8" s="304">
        <f>IF(Participants!B7&lt;&gt;"",Participants!B7,"")</f>
      </c>
      <c r="K8" s="305"/>
      <c r="L8" s="306"/>
      <c r="N8" s="161"/>
      <c r="O8" s="161"/>
      <c r="P8" s="161"/>
      <c r="Q8" s="79"/>
      <c r="R8" s="161"/>
      <c r="S8" s="161"/>
      <c r="T8" s="161"/>
      <c r="U8" s="161"/>
    </row>
    <row r="9" spans="1:21" ht="19.5" customHeight="1">
      <c r="A9" s="322">
        <v>2</v>
      </c>
      <c r="B9" s="310" t="s">
        <v>111</v>
      </c>
      <c r="C9" s="162">
        <f>IF(Q11=0,IF(Participants!D10&lt;&gt;"",Participants!D10,""),"")</f>
      </c>
      <c r="D9" s="93"/>
      <c r="E9" s="93"/>
      <c r="F9" s="93"/>
      <c r="G9" s="90"/>
      <c r="H9" s="82">
        <f>_xlfn.IFERROR(D9/E9,"")</f>
      </c>
      <c r="I9" s="72"/>
      <c r="J9" s="301" t="s">
        <v>2</v>
      </c>
      <c r="K9" s="302"/>
      <c r="L9" s="303"/>
      <c r="N9" s="161"/>
      <c r="O9" s="161" t="s">
        <v>144</v>
      </c>
      <c r="P9" s="161"/>
      <c r="Q9" s="79"/>
      <c r="R9" s="161"/>
      <c r="S9" s="161"/>
      <c r="T9" s="161"/>
      <c r="U9" s="161"/>
    </row>
    <row r="10" spans="1:21" ht="19.5" customHeight="1">
      <c r="A10" s="323"/>
      <c r="B10" s="311"/>
      <c r="C10" s="163">
        <f>IF(Q11=0,IF(Q5=Participants!D11,Participants!D12,Participants!D11),"")</f>
      </c>
      <c r="D10" s="94"/>
      <c r="E10" s="126">
        <f>IF(E9&lt;&gt;"",E9,"")</f>
      </c>
      <c r="F10" s="94"/>
      <c r="G10" s="126">
        <f>IF(G9&lt;&gt;"",2-G9,"")</f>
      </c>
      <c r="H10" s="84">
        <f>_xlfn.IFERROR(D10/E10,"")</f>
      </c>
      <c r="I10" s="72"/>
      <c r="J10" s="307" t="str">
        <f>IF(Participants!E5&lt;&gt;"",Participants!E5," ")</f>
        <v> </v>
      </c>
      <c r="K10" s="308"/>
      <c r="L10" s="309"/>
      <c r="N10" s="161"/>
      <c r="O10" s="161"/>
      <c r="P10" s="161"/>
      <c r="Q10" s="79"/>
      <c r="R10" s="161"/>
      <c r="S10" s="161"/>
      <c r="T10" s="161"/>
      <c r="U10" s="161"/>
    </row>
    <row r="11" spans="1:21" ht="19.5" customHeight="1">
      <c r="A11" s="323"/>
      <c r="B11" s="310" t="s">
        <v>112</v>
      </c>
      <c r="C11" s="162">
        <f>IF(Q13=0,IF(Participants!D14&lt;&gt;"",Participants!D14,""),"")</f>
      </c>
      <c r="D11" s="93"/>
      <c r="E11" s="93"/>
      <c r="F11" s="93"/>
      <c r="G11" s="90"/>
      <c r="H11" s="82">
        <f>_xlfn.IFERROR(D11/E11,"")</f>
      </c>
      <c r="I11" s="72"/>
      <c r="J11" s="301" t="s">
        <v>3</v>
      </c>
      <c r="K11" s="302"/>
      <c r="L11" s="303"/>
      <c r="N11" s="161"/>
      <c r="O11" s="314" t="s">
        <v>145</v>
      </c>
      <c r="P11" s="314"/>
      <c r="Q11" s="79">
        <f>COUNTBLANK(D4:H5)</f>
        <v>10</v>
      </c>
      <c r="R11" s="161"/>
      <c r="S11" s="161"/>
      <c r="T11" s="161"/>
      <c r="U11" s="161"/>
    </row>
    <row r="12" spans="1:12" ht="19.5" customHeight="1">
      <c r="A12" s="324"/>
      <c r="B12" s="311"/>
      <c r="C12" s="163">
        <f>IF(Q13=0,IF(Q7=Participants!D15,Participants!D16,Participants!D15),"")</f>
      </c>
      <c r="D12" s="94"/>
      <c r="E12" s="126">
        <f>IF(E11&lt;&gt;"",E11,"")</f>
      </c>
      <c r="F12" s="94"/>
      <c r="G12" s="126">
        <f>IF(G11&lt;&gt;"",2-G11,"")</f>
      </c>
      <c r="H12" s="84">
        <f>_xlfn.IFERROR(D12/E12,"")</f>
      </c>
      <c r="I12" s="72"/>
      <c r="J12" s="307" t="str">
        <f>IF(Participants!G5&lt;&gt;"",Participants!G5," ")</f>
        <v> </v>
      </c>
      <c r="K12" s="308"/>
      <c r="L12" s="309"/>
    </row>
    <row r="13" spans="4:17" ht="19.5" customHeight="1">
      <c r="D13" s="95"/>
      <c r="E13" s="95"/>
      <c r="F13" s="96"/>
      <c r="G13" s="92"/>
      <c r="H13" s="77">
        <f>IF(E13&gt;0,D13/E13,"")</f>
      </c>
      <c r="I13" s="72"/>
      <c r="J13" s="301" t="s">
        <v>1</v>
      </c>
      <c r="K13" s="302"/>
      <c r="L13" s="303"/>
      <c r="O13" s="314" t="s">
        <v>146</v>
      </c>
      <c r="P13" s="314"/>
      <c r="Q13" s="79">
        <f>COUNTBLANK(D6:H7)</f>
        <v>10</v>
      </c>
    </row>
    <row r="14" spans="1:12" ht="19.5" customHeight="1">
      <c r="A14" s="322">
        <v>3</v>
      </c>
      <c r="B14" s="310" t="s">
        <v>111</v>
      </c>
      <c r="C14" s="162">
        <f>IF(Q11=0,IF(Participants!D10&lt;&gt;"",Participants!D10,""),"")</f>
      </c>
      <c r="D14" s="93"/>
      <c r="E14" s="93"/>
      <c r="F14" s="93"/>
      <c r="G14" s="90"/>
      <c r="H14" s="82">
        <f>_xlfn.IFERROR(D14/E14,"")</f>
      </c>
      <c r="I14" s="72"/>
      <c r="J14" s="298" t="str">
        <f>IF(Participants!D5&lt;&gt;"",Participants!D5," ")</f>
        <v> </v>
      </c>
      <c r="K14" s="299"/>
      <c r="L14" s="300"/>
    </row>
    <row r="15" spans="1:12" ht="19.5" customHeight="1">
      <c r="A15" s="323"/>
      <c r="B15" s="311"/>
      <c r="C15" s="163">
        <f>IF(Q11=0,Q5,"")</f>
      </c>
      <c r="D15" s="94"/>
      <c r="E15" s="126">
        <f>IF(E14&lt;&gt;"",E14,"")</f>
      </c>
      <c r="F15" s="94"/>
      <c r="G15" s="126">
        <f>IF(G14&lt;&gt;"",2-G14,"")</f>
      </c>
      <c r="H15" s="84">
        <f>_xlfn.IFERROR(D15/E15,"")</f>
      </c>
      <c r="I15" s="72"/>
      <c r="J15" s="77"/>
      <c r="K15" s="77"/>
      <c r="L15" s="77"/>
    </row>
    <row r="16" spans="1:12" ht="19.5" customHeight="1">
      <c r="A16" s="323"/>
      <c r="B16" s="310" t="s">
        <v>112</v>
      </c>
      <c r="C16" s="162">
        <f>IF(Q13=0,IF(Participants!D14&lt;&gt;"",Participants!D14,""),"")</f>
      </c>
      <c r="D16" s="93"/>
      <c r="E16" s="93"/>
      <c r="F16" s="93"/>
      <c r="G16" s="90"/>
      <c r="H16" s="82">
        <f>_xlfn.IFERROR(D16/E16,"")</f>
      </c>
      <c r="J16" s="295" t="s">
        <v>10</v>
      </c>
      <c r="K16" s="296"/>
      <c r="L16" s="297"/>
    </row>
    <row r="17" spans="1:12" ht="19.5" customHeight="1">
      <c r="A17" s="324"/>
      <c r="B17" s="311"/>
      <c r="C17" s="163">
        <f>IF(Q13=0,Q7,"")</f>
      </c>
      <c r="D17" s="94"/>
      <c r="E17" s="126">
        <f>IF(E16&lt;&gt;"",E16,"")</f>
      </c>
      <c r="F17" s="94"/>
      <c r="G17" s="126">
        <f>IF(G16&lt;&gt;"",2-G16,"")</f>
      </c>
      <c r="H17" s="84">
        <f>_xlfn.IFERROR(D17/E17,"")</f>
      </c>
      <c r="J17" s="203" t="s">
        <v>162</v>
      </c>
      <c r="K17" s="206" t="s">
        <v>165</v>
      </c>
      <c r="L17" s="200"/>
    </row>
    <row r="18" spans="10:12" ht="19.5" customHeight="1" thickBot="1">
      <c r="J18" s="204" t="s">
        <v>163</v>
      </c>
      <c r="K18" s="207" t="s">
        <v>166</v>
      </c>
      <c r="L18" s="201"/>
    </row>
    <row r="19" spans="4:12" ht="19.5" customHeight="1" thickTop="1">
      <c r="D19" s="272" t="s">
        <v>80</v>
      </c>
      <c r="E19" s="273"/>
      <c r="G19" s="272" t="s">
        <v>158</v>
      </c>
      <c r="H19" s="273"/>
      <c r="J19" s="205" t="s">
        <v>164</v>
      </c>
      <c r="K19" s="208" t="s">
        <v>197</v>
      </c>
      <c r="L19" s="202"/>
    </row>
    <row r="20" spans="4:8" ht="19.5" customHeight="1" thickBot="1">
      <c r="D20" s="274"/>
      <c r="E20" s="275"/>
      <c r="G20" s="274"/>
      <c r="H20" s="275"/>
    </row>
    <row r="21" ht="19.5" customHeight="1" thickTop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 password="CA59" sheet="1" selectLockedCells="1"/>
  <mergeCells count="27">
    <mergeCell ref="D19:E20"/>
    <mergeCell ref="G19:H20"/>
    <mergeCell ref="A1:M1"/>
    <mergeCell ref="A14:A17"/>
    <mergeCell ref="B14:B15"/>
    <mergeCell ref="B16:B17"/>
    <mergeCell ref="B4:B5"/>
    <mergeCell ref="B11:B12"/>
    <mergeCell ref="A9:A12"/>
    <mergeCell ref="A4:A7"/>
    <mergeCell ref="B6:B7"/>
    <mergeCell ref="I2:M4"/>
    <mergeCell ref="O11:P11"/>
    <mergeCell ref="O13:P13"/>
    <mergeCell ref="B9:B10"/>
    <mergeCell ref="Q4:R4"/>
    <mergeCell ref="Q5:S5"/>
    <mergeCell ref="Q7:S7"/>
    <mergeCell ref="J7:L7"/>
    <mergeCell ref="J16:L16"/>
    <mergeCell ref="J14:L14"/>
    <mergeCell ref="J9:L9"/>
    <mergeCell ref="J11:L11"/>
    <mergeCell ref="J13:L13"/>
    <mergeCell ref="J8:L8"/>
    <mergeCell ref="J10:L10"/>
    <mergeCell ref="J12:L12"/>
  </mergeCells>
  <dataValidations count="1">
    <dataValidation type="list" allowBlank="1" showInputMessage="1" showErrorMessage="1" promptTitle="Points de match" errorTitle="ATTENTION" error="Saisie incorrecte" sqref="G6 G11 G4 G9 G16 G14">
      <formula1>pt_qualif</formula1>
    </dataValidation>
  </dataValidations>
  <hyperlinks>
    <hyperlink ref="D19:E20" location="Classement!A1" display="Classement"/>
    <hyperlink ref="G19:H20" location="Participants!A1" display="Participants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E5 E7 E10 E12 E15 E17" unlockedFormula="1"/>
    <ignoredError sqref="H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BG88"/>
  <sheetViews>
    <sheetView showGridLines="0" showRowColHeaders="0" zoomScale="130" zoomScaleNormal="130" zoomScalePageLayoutView="0" workbookViewId="0" topLeftCell="A1">
      <selection activeCell="K6" sqref="K6"/>
    </sheetView>
  </sheetViews>
  <sheetFormatPr defaultColWidth="11.5" defaultRowHeight="12.75"/>
  <cols>
    <col min="1" max="1" width="3.83203125" style="3" customWidth="1"/>
    <col min="2" max="2" width="3.83203125" style="71" customWidth="1"/>
    <col min="3" max="3" width="28.66015625" style="3" customWidth="1"/>
    <col min="4" max="6" width="9.33203125" style="3" customWidth="1"/>
    <col min="7" max="7" width="10" style="3" customWidth="1"/>
    <col min="8" max="9" width="9.33203125" style="3" customWidth="1"/>
    <col min="10" max="10" width="0.82421875" style="3" customWidth="1"/>
    <col min="11" max="11" width="9.33203125" style="3" customWidth="1"/>
    <col min="12" max="13" width="7" style="3" customWidth="1"/>
    <col min="14" max="14" width="32" style="3" customWidth="1"/>
    <col min="15" max="15" width="11.5" style="3" customWidth="1"/>
    <col min="16" max="16" width="10.66015625" style="3" customWidth="1"/>
    <col min="17" max="19" width="3.66015625" style="3" customWidth="1"/>
    <col min="20" max="20" width="2.66015625" style="3" customWidth="1"/>
    <col min="21" max="23" width="3.66015625" style="3" customWidth="1"/>
    <col min="24" max="24" width="2.66015625" style="3" customWidth="1"/>
    <col min="25" max="25" width="41.33203125" style="3" customWidth="1"/>
    <col min="26" max="26" width="11.5" style="3" customWidth="1"/>
    <col min="27" max="27" width="12.83203125" style="3" customWidth="1"/>
    <col min="28" max="16384" width="11.5" style="3" customWidth="1"/>
  </cols>
  <sheetData>
    <row r="1" spans="1:59" ht="24.75" customHeight="1" thickBot="1">
      <c r="A1" s="331" t="s">
        <v>269</v>
      </c>
      <c r="B1" s="331"/>
      <c r="C1" s="331"/>
      <c r="D1" s="331"/>
      <c r="E1" s="331"/>
      <c r="F1" s="331"/>
      <c r="G1" s="331"/>
      <c r="H1" s="2"/>
      <c r="I1" s="2"/>
      <c r="J1" s="2"/>
      <c r="K1" s="2"/>
      <c r="L1" s="325" t="s">
        <v>77</v>
      </c>
      <c r="M1" s="325"/>
      <c r="N1" s="12">
        <f>IF(Participants!B7&lt;&gt;"",Participants!B7,"")</f>
      </c>
      <c r="O1" s="127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8.75" customHeight="1" thickTop="1">
      <c r="A2" s="2"/>
      <c r="B2" s="128"/>
      <c r="C2" s="2"/>
      <c r="D2" s="2"/>
      <c r="E2" s="2"/>
      <c r="F2" s="337" t="s">
        <v>128</v>
      </c>
      <c r="G2" s="338"/>
      <c r="H2" s="338"/>
      <c r="I2" s="338"/>
      <c r="J2" s="129"/>
      <c r="K2" s="130"/>
      <c r="L2" s="326" t="s">
        <v>19</v>
      </c>
      <c r="M2" s="327"/>
      <c r="N2" s="12">
        <f>IF(Participants!D5&lt;&gt;"",Participants!D5,"")</f>
      </c>
      <c r="O2" s="12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18.75" customHeight="1" thickBot="1">
      <c r="A3" s="2"/>
      <c r="B3" s="128"/>
      <c r="C3" s="2"/>
      <c r="D3" s="2"/>
      <c r="E3" s="2"/>
      <c r="F3" s="339"/>
      <c r="G3" s="340"/>
      <c r="H3" s="340"/>
      <c r="I3" s="340"/>
      <c r="J3" s="131"/>
      <c r="K3" s="130"/>
      <c r="L3" s="328" t="s">
        <v>20</v>
      </c>
      <c r="M3" s="325"/>
      <c r="N3" s="12">
        <f>IF(Participants!E5&lt;&gt;"",Participants!E5,"")</f>
      </c>
      <c r="O3" s="12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18" customHeight="1" thickTop="1">
      <c r="A4" s="2"/>
      <c r="B4" s="132"/>
      <c r="C4" s="332" t="s">
        <v>39</v>
      </c>
      <c r="D4" s="332"/>
      <c r="E4" s="332"/>
      <c r="F4" s="332"/>
      <c r="G4" s="332"/>
      <c r="H4" s="332"/>
      <c r="I4" s="332"/>
      <c r="J4" s="332"/>
      <c r="K4" s="332"/>
      <c r="L4" s="325" t="s">
        <v>21</v>
      </c>
      <c r="M4" s="325"/>
      <c r="N4" s="12">
        <f>IF(Participants!G5&lt;&gt;"",Participants!G5,"")</f>
      </c>
      <c r="O4" s="127"/>
      <c r="P4" s="127"/>
      <c r="Q4" s="127"/>
      <c r="R4" s="127"/>
      <c r="S4" s="127"/>
      <c r="T4" s="127"/>
      <c r="U4" s="127"/>
      <c r="V4" s="127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ht="26.25" customHeight="1">
      <c r="A5" s="2"/>
      <c r="B5" s="133"/>
      <c r="C5" s="248" t="s">
        <v>16</v>
      </c>
      <c r="D5" s="134" t="s">
        <v>12</v>
      </c>
      <c r="E5" s="135" t="s">
        <v>15</v>
      </c>
      <c r="F5" s="135" t="s">
        <v>13</v>
      </c>
      <c r="G5" s="136" t="s">
        <v>38</v>
      </c>
      <c r="H5" s="135" t="s">
        <v>37</v>
      </c>
      <c r="I5" s="137" t="s">
        <v>14</v>
      </c>
      <c r="J5" s="138"/>
      <c r="K5" s="139" t="s">
        <v>80</v>
      </c>
      <c r="L5" s="329" t="s">
        <v>81</v>
      </c>
      <c r="M5" s="330"/>
      <c r="N5" s="330"/>
      <c r="O5" s="13"/>
      <c r="P5" s="127"/>
      <c r="Q5" s="127"/>
      <c r="R5" s="127"/>
      <c r="S5" s="127"/>
      <c r="T5" s="127"/>
      <c r="U5" s="127"/>
      <c r="V5" s="127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14.25" customHeight="1">
      <c r="A6" s="2"/>
      <c r="B6" s="171">
        <f>K6</f>
        <v>0</v>
      </c>
      <c r="C6" s="141">
        <f>IF(Participants!D10="","",Participants!D10)</f>
      </c>
      <c r="D6" s="142">
        <f>SUM('Feuille de match'!B14:B16)</f>
        <v>0</v>
      </c>
      <c r="E6" s="142">
        <f>SUM('Feuille de match'!C14:C16)</f>
        <v>0</v>
      </c>
      <c r="F6" s="142">
        <f>MAX('Feuille de match'!D14:D16)</f>
        <v>0</v>
      </c>
      <c r="G6" s="143">
        <f>MAX('Feuille de match'!O13:Q13)</f>
        <v>0</v>
      </c>
      <c r="H6" s="143">
        <f>IF(E6&gt;0,D6/E6,0)</f>
        <v>0</v>
      </c>
      <c r="I6" s="142">
        <f>SUM('Feuille de match'!F14:F16)</f>
        <v>0</v>
      </c>
      <c r="J6" s="144"/>
      <c r="K6" s="11"/>
      <c r="L6" s="333" t="s">
        <v>82</v>
      </c>
      <c r="M6" s="334"/>
      <c r="N6" s="13">
        <f>_xlfn.IFERROR(VLOOKUP(1,$B$6:$C$8,2,FALSE),"")</f>
      </c>
      <c r="O6" s="13"/>
      <c r="P6" s="127"/>
      <c r="Q6" s="132"/>
      <c r="R6" s="132"/>
      <c r="S6" s="132"/>
      <c r="T6" s="132"/>
      <c r="U6" s="132"/>
      <c r="V6" s="132"/>
      <c r="W6" s="132"/>
      <c r="X6" s="13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4.25" customHeight="1">
      <c r="A7" s="2"/>
      <c r="B7" s="171">
        <f aca="true" t="shared" si="0" ref="B7:B24">K7</f>
        <v>0</v>
      </c>
      <c r="C7" s="141">
        <f>IF(Participants!D11="","",Participants!D11)</f>
      </c>
      <c r="D7" s="142">
        <f>SUM('Feuille de match'!B30:B32)</f>
        <v>0</v>
      </c>
      <c r="E7" s="142">
        <f>SUM('Feuille de match'!C30:C32)</f>
        <v>0</v>
      </c>
      <c r="F7" s="142">
        <f>MAX('Feuille de match'!D30:D32)</f>
        <v>0</v>
      </c>
      <c r="G7" s="143">
        <f>MAX('Feuille de match'!O29:Q29)</f>
        <v>0</v>
      </c>
      <c r="H7" s="143">
        <f>IF(E7&gt;0,D7/E7,0)</f>
        <v>0</v>
      </c>
      <c r="I7" s="142">
        <f>SUM('Feuille de match'!F30:F32)</f>
        <v>0</v>
      </c>
      <c r="J7" s="144"/>
      <c r="K7" s="11"/>
      <c r="L7" s="333" t="s">
        <v>83</v>
      </c>
      <c r="M7" s="334"/>
      <c r="N7" s="13">
        <f>_xlfn.IFERROR(VLOOKUP(2,$B$6:$C$8,2,FALSE),"")</f>
      </c>
      <c r="O7" s="13"/>
      <c r="P7" s="127"/>
      <c r="Q7" s="132"/>
      <c r="R7" s="132"/>
      <c r="S7" s="132"/>
      <c r="T7" s="132"/>
      <c r="U7" s="132"/>
      <c r="V7" s="132"/>
      <c r="W7" s="132"/>
      <c r="X7" s="13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4.25" customHeight="1">
      <c r="A8" s="2"/>
      <c r="B8" s="171">
        <f t="shared" si="0"/>
        <v>0</v>
      </c>
      <c r="C8" s="141">
        <f>IF(Participants!D12="","",Participants!D12)</f>
      </c>
      <c r="D8" s="142">
        <f>SUM('Feuille de match'!B46:B48)</f>
        <v>0</v>
      </c>
      <c r="E8" s="142">
        <f>SUM('Feuille de match'!C46:C48)</f>
        <v>0</v>
      </c>
      <c r="F8" s="142">
        <f>MAX('Feuille de match'!D46:D48)</f>
        <v>0</v>
      </c>
      <c r="G8" s="143">
        <f>MAX('Feuille de match'!O45:Q45)</f>
        <v>0</v>
      </c>
      <c r="H8" s="143">
        <f>IF(E8&gt;0,D8/E8,0)</f>
        <v>0</v>
      </c>
      <c r="I8" s="142">
        <f>SUM('Feuille de match'!F46:F48)</f>
        <v>0</v>
      </c>
      <c r="J8" s="144"/>
      <c r="K8" s="11"/>
      <c r="L8" s="333" t="s">
        <v>84</v>
      </c>
      <c r="M8" s="334"/>
      <c r="N8" s="13">
        <f>_xlfn.IFERROR(VLOOKUP(3,$B$6:$C$8,2,FALSE),"")</f>
      </c>
      <c r="O8" s="13"/>
      <c r="P8" s="127"/>
      <c r="Q8" s="132"/>
      <c r="R8" s="132"/>
      <c r="S8" s="132"/>
      <c r="T8" s="132"/>
      <c r="U8" s="132"/>
      <c r="V8" s="132"/>
      <c r="W8" s="132"/>
      <c r="X8" s="13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9" customHeight="1">
      <c r="A9" s="2"/>
      <c r="B9" s="171"/>
      <c r="C9" s="145"/>
      <c r="D9" s="145"/>
      <c r="E9" s="145"/>
      <c r="F9" s="145"/>
      <c r="G9" s="146"/>
      <c r="H9" s="145"/>
      <c r="I9" s="145"/>
      <c r="J9" s="144"/>
      <c r="K9" s="133"/>
      <c r="L9" s="13"/>
      <c r="M9" s="13"/>
      <c r="N9" s="13"/>
      <c r="O9" s="13"/>
      <c r="P9" s="127"/>
      <c r="Q9" s="132"/>
      <c r="R9" s="132"/>
      <c r="S9" s="132"/>
      <c r="T9" s="132"/>
      <c r="U9" s="132"/>
      <c r="V9" s="132"/>
      <c r="W9" s="128"/>
      <c r="X9" s="128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4.25" customHeight="1">
      <c r="A10" s="2"/>
      <c r="B10" s="171">
        <f t="shared" si="0"/>
        <v>0</v>
      </c>
      <c r="C10" s="147">
        <f>IF(Participants!D14="","",Participants!D14)</f>
      </c>
      <c r="D10" s="148">
        <f>SUM('Feuille de match'!I14:I16)</f>
        <v>0</v>
      </c>
      <c r="E10" s="148">
        <f>SUM('Feuille de match'!J14:J16)</f>
        <v>0</v>
      </c>
      <c r="F10" s="148">
        <f>MAX('Feuille de match'!K14:K16)</f>
        <v>0</v>
      </c>
      <c r="G10" s="149">
        <f>MAX('Feuille de match'!U13:W13)</f>
        <v>0</v>
      </c>
      <c r="H10" s="149">
        <f>IF(E10&gt;0,D10/E10,)</f>
        <v>0</v>
      </c>
      <c r="I10" s="148">
        <f>SUM('Feuille de match'!M14:M16)</f>
        <v>0</v>
      </c>
      <c r="J10" s="144"/>
      <c r="K10" s="11"/>
      <c r="L10" s="333" t="s">
        <v>82</v>
      </c>
      <c r="M10" s="334"/>
      <c r="N10" s="13">
        <f>_xlfn.IFERROR(VLOOKUP(1,$B$10:$C$12,2,FALSE),"")</f>
      </c>
      <c r="O10" s="13"/>
      <c r="P10" s="127"/>
      <c r="Q10" s="132"/>
      <c r="R10" s="132"/>
      <c r="S10" s="132"/>
      <c r="T10" s="132"/>
      <c r="U10" s="132"/>
      <c r="V10" s="132"/>
      <c r="W10" s="132"/>
      <c r="X10" s="13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14.25" customHeight="1">
      <c r="A11" s="2"/>
      <c r="B11" s="171">
        <f t="shared" si="0"/>
        <v>0</v>
      </c>
      <c r="C11" s="147">
        <f>IF(Participants!D15="","",Participants!D15)</f>
      </c>
      <c r="D11" s="148">
        <f>SUM('Feuille de match'!I30:I32)</f>
        <v>0</v>
      </c>
      <c r="E11" s="148">
        <f>SUM('Feuille de match'!J30:J32)</f>
        <v>0</v>
      </c>
      <c r="F11" s="148">
        <f>MAX('Feuille de match'!K30:K32)</f>
        <v>0</v>
      </c>
      <c r="G11" s="149">
        <f>MAX('Feuille de match'!U29:W29)</f>
        <v>0</v>
      </c>
      <c r="H11" s="149">
        <f>IF(E11&gt;0,D11/E11,0)</f>
        <v>0</v>
      </c>
      <c r="I11" s="148">
        <f>SUM('Feuille de match'!M30:M32)</f>
        <v>0</v>
      </c>
      <c r="J11" s="144"/>
      <c r="K11" s="11"/>
      <c r="L11" s="333" t="s">
        <v>83</v>
      </c>
      <c r="M11" s="334"/>
      <c r="N11" s="13">
        <f>_xlfn.IFERROR(VLOOKUP(2,$B$10:$C$12,2,FALSE),"")</f>
      </c>
      <c r="O11" s="13"/>
      <c r="P11" s="127"/>
      <c r="Q11" s="132"/>
      <c r="R11" s="132"/>
      <c r="S11" s="132"/>
      <c r="T11" s="132"/>
      <c r="U11" s="132"/>
      <c r="V11" s="132"/>
      <c r="W11" s="132"/>
      <c r="X11" s="13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4.25" customHeight="1">
      <c r="A12" s="2"/>
      <c r="B12" s="171">
        <f t="shared" si="0"/>
        <v>0</v>
      </c>
      <c r="C12" s="147">
        <f>IF(Participants!D16="","",Participants!D16)</f>
      </c>
      <c r="D12" s="148">
        <f>SUM('Feuille de match'!I46:I48)</f>
        <v>0</v>
      </c>
      <c r="E12" s="148">
        <f>SUM('Feuille de match'!J46:J48)</f>
        <v>0</v>
      </c>
      <c r="F12" s="148">
        <f>MAX('Feuille de match'!K46:K48)</f>
        <v>0</v>
      </c>
      <c r="G12" s="149">
        <f>MAX('Feuille de match'!U45:W45)</f>
        <v>0</v>
      </c>
      <c r="H12" s="149">
        <f>IF(E12&gt;0,D12/E12,0)</f>
        <v>0</v>
      </c>
      <c r="I12" s="148">
        <f>SUM('Feuille de match'!M46:M48)</f>
        <v>0</v>
      </c>
      <c r="J12" s="144"/>
      <c r="K12" s="11"/>
      <c r="L12" s="333" t="s">
        <v>84</v>
      </c>
      <c r="M12" s="334"/>
      <c r="N12" s="13">
        <f>_xlfn.IFERROR(VLOOKUP(3,$B$10:$C$12,2,FALSE),"")</f>
      </c>
      <c r="O12" s="13"/>
      <c r="P12" s="127"/>
      <c r="Q12" s="132"/>
      <c r="R12" s="132"/>
      <c r="S12" s="132"/>
      <c r="T12" s="132"/>
      <c r="U12" s="132"/>
      <c r="V12" s="132"/>
      <c r="W12" s="132"/>
      <c r="X12" s="13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ht="9" customHeight="1">
      <c r="A13" s="2"/>
      <c r="B13" s="171"/>
      <c r="C13" s="145"/>
      <c r="D13" s="145"/>
      <c r="E13" s="145"/>
      <c r="F13" s="145"/>
      <c r="G13" s="146"/>
      <c r="H13" s="145"/>
      <c r="I13" s="145"/>
      <c r="J13" s="144"/>
      <c r="K13" s="133"/>
      <c r="L13" s="13"/>
      <c r="M13" s="13"/>
      <c r="N13" s="13"/>
      <c r="O13" s="13"/>
      <c r="P13" s="127"/>
      <c r="Q13" s="132"/>
      <c r="R13" s="132"/>
      <c r="S13" s="132"/>
      <c r="T13" s="132"/>
      <c r="U13" s="132"/>
      <c r="V13" s="132"/>
      <c r="W13" s="128"/>
      <c r="X13" s="12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ht="9" customHeight="1">
      <c r="A14" s="2"/>
      <c r="B14" s="172"/>
      <c r="C14" s="2"/>
      <c r="D14" s="2"/>
      <c r="E14" s="2"/>
      <c r="F14" s="2"/>
      <c r="G14" s="150"/>
      <c r="H14" s="2"/>
      <c r="I14" s="2"/>
      <c r="J14" s="2"/>
      <c r="K14" s="2"/>
      <c r="L14" s="151"/>
      <c r="M14" s="151"/>
      <c r="N14" s="151"/>
      <c r="O14" s="151"/>
      <c r="P14" s="127"/>
      <c r="Q14" s="132"/>
      <c r="R14" s="132"/>
      <c r="S14" s="132"/>
      <c r="T14" s="132"/>
      <c r="U14" s="132"/>
      <c r="V14" s="132"/>
      <c r="W14" s="128"/>
      <c r="X14" s="128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ht="14.25" customHeight="1">
      <c r="A15" s="2"/>
      <c r="B15" s="173"/>
      <c r="C15" s="248" t="s">
        <v>85</v>
      </c>
      <c r="D15" s="145"/>
      <c r="E15" s="145"/>
      <c r="F15" s="145"/>
      <c r="G15" s="146"/>
      <c r="H15" s="145"/>
      <c r="I15" s="145"/>
      <c r="J15" s="145"/>
      <c r="K15" s="145"/>
      <c r="L15" s="335" t="s">
        <v>150</v>
      </c>
      <c r="M15" s="335"/>
      <c r="N15" s="335"/>
      <c r="O15" s="152"/>
      <c r="P15" s="127"/>
      <c r="Q15" s="132"/>
      <c r="R15" s="132"/>
      <c r="S15" s="132"/>
      <c r="T15" s="132"/>
      <c r="U15" s="132"/>
      <c r="V15" s="132"/>
      <c r="W15" s="128"/>
      <c r="X15" s="128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ht="14.25" customHeight="1">
      <c r="A16" s="2"/>
      <c r="B16" s="144">
        <f t="shared" si="0"/>
        <v>0</v>
      </c>
      <c r="C16" s="141">
        <f>N6</f>
      </c>
      <c r="D16" s="153">
        <f>_xlfn.IFERROR(VLOOKUP($C$16,$C$6:$I$8,2,FALSE),0)</f>
        <v>0</v>
      </c>
      <c r="E16" s="153">
        <f>_xlfn.IFERROR(VLOOKUP($C$16,$C$6:$I$8,3,FALSE),0)</f>
        <v>0</v>
      </c>
      <c r="F16" s="153">
        <f>_xlfn.IFERROR(VLOOKUP($C$16,$C$6:$I$8,4,FALSE),0)</f>
        <v>0</v>
      </c>
      <c r="G16" s="143">
        <f>_xlfn.IFERROR(VLOOKUP($C$16,$C$6:$I$8,5,FALSE),0)</f>
        <v>0</v>
      </c>
      <c r="H16" s="143">
        <f>_xlfn.IFERROR(VLOOKUP($C$16,$C$6:$I$8,6,FALSE),0)</f>
        <v>0</v>
      </c>
      <c r="I16" s="153">
        <f>_xlfn.IFERROR(VLOOKUP($C$16,$C$6:$I$8,7,FALSE),0)</f>
        <v>0</v>
      </c>
      <c r="J16" s="145"/>
      <c r="K16" s="11"/>
      <c r="L16" s="333" t="s">
        <v>82</v>
      </c>
      <c r="M16" s="336"/>
      <c r="N16" s="13">
        <f>_xlfn.IFERROR(VLOOKUP(1,$B$16:$C$17,2,FALSE),"")</f>
      </c>
      <c r="O16" s="152">
        <f>IF(N16&lt;&gt;"",VLOOKUP(N16,$C$6:$J$13,8,FALSE),"")</f>
      </c>
      <c r="P16" s="127"/>
      <c r="Q16" s="132"/>
      <c r="R16" s="132"/>
      <c r="S16" s="132"/>
      <c r="T16" s="132"/>
      <c r="U16" s="132"/>
      <c r="V16" s="132"/>
      <c r="W16" s="128"/>
      <c r="X16" s="128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ht="14.25" customHeight="1">
      <c r="A17" s="2"/>
      <c r="B17" s="171">
        <f t="shared" si="0"/>
        <v>0</v>
      </c>
      <c r="C17" s="147">
        <f>N10</f>
      </c>
      <c r="D17" s="154">
        <f>_xlfn.IFERROR(VLOOKUP($C$17,$C$10:$I$12,2,FALSE),0)</f>
        <v>0</v>
      </c>
      <c r="E17" s="154">
        <f>_xlfn.IFERROR(VLOOKUP($C$17,$C$10:$I$12,3,FALSE),0)</f>
        <v>0</v>
      </c>
      <c r="F17" s="154">
        <f>_xlfn.IFERROR(VLOOKUP($C$17,$C$10:$I$12,4,FALSE),0)</f>
        <v>0</v>
      </c>
      <c r="G17" s="165">
        <f>_xlfn.IFERROR(VLOOKUP($C$17,$C$10:$I$12,5,FALSE),0)</f>
        <v>0</v>
      </c>
      <c r="H17" s="149">
        <f>_xlfn.IFERROR(VLOOKUP($C$17,$C$10:$I$12,6,FALSE),0)</f>
        <v>0</v>
      </c>
      <c r="I17" s="154">
        <f>_xlfn.IFERROR(VLOOKUP($C$17,$C$10:$I$12,7,FALSE),0)</f>
        <v>0</v>
      </c>
      <c r="J17" s="145"/>
      <c r="K17" s="11"/>
      <c r="L17" s="333" t="s">
        <v>83</v>
      </c>
      <c r="M17" s="336"/>
      <c r="N17" s="13">
        <f>_xlfn.IFERROR(VLOOKUP(2,$B$16:$C$17,2,FALSE),"")</f>
      </c>
      <c r="O17" s="152">
        <f>IF(N17&lt;&gt;"",VLOOKUP(N17,$C$6:$J$13,8,FALSE),"")</f>
      </c>
      <c r="P17" s="127"/>
      <c r="Q17" s="132"/>
      <c r="R17" s="132"/>
      <c r="S17" s="132"/>
      <c r="T17" s="132"/>
      <c r="U17" s="132"/>
      <c r="V17" s="132"/>
      <c r="W17" s="128"/>
      <c r="X17" s="128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ht="24.75" customHeight="1">
      <c r="A18" s="2"/>
      <c r="B18" s="144"/>
      <c r="C18" s="145"/>
      <c r="D18" s="145"/>
      <c r="E18" s="145"/>
      <c r="F18" s="145"/>
      <c r="G18" s="146"/>
      <c r="H18" s="145"/>
      <c r="I18" s="145"/>
      <c r="J18" s="145"/>
      <c r="K18" s="145"/>
      <c r="L18" s="247" t="b">
        <v>0</v>
      </c>
      <c r="M18" s="13"/>
      <c r="N18" s="13"/>
      <c r="O18" s="152"/>
      <c r="P18" s="127"/>
      <c r="Q18" s="132"/>
      <c r="R18" s="132"/>
      <c r="S18" s="132"/>
      <c r="T18" s="132"/>
      <c r="U18" s="132"/>
      <c r="V18" s="132"/>
      <c r="W18" s="128"/>
      <c r="X18" s="128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ht="9" customHeight="1">
      <c r="A19" s="2"/>
      <c r="B19" s="172"/>
      <c r="C19" s="2"/>
      <c r="D19" s="132"/>
      <c r="E19" s="132"/>
      <c r="F19" s="132"/>
      <c r="G19" s="155"/>
      <c r="H19" s="132"/>
      <c r="I19" s="132"/>
      <c r="J19" s="132"/>
      <c r="K19" s="132"/>
      <c r="L19" s="151"/>
      <c r="M19" s="151"/>
      <c r="N19" s="151"/>
      <c r="O19" s="151"/>
      <c r="P19" s="127"/>
      <c r="Q19" s="132"/>
      <c r="R19" s="132"/>
      <c r="S19" s="132"/>
      <c r="T19" s="132"/>
      <c r="U19" s="132"/>
      <c r="V19" s="132"/>
      <c r="W19" s="128"/>
      <c r="X19" s="128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ht="14.25" customHeight="1">
      <c r="A20" s="2"/>
      <c r="B20" s="173"/>
      <c r="C20" s="248" t="s">
        <v>198</v>
      </c>
      <c r="D20" s="77"/>
      <c r="E20" s="77"/>
      <c r="F20" s="77"/>
      <c r="G20" s="156"/>
      <c r="H20" s="77"/>
      <c r="I20" s="77"/>
      <c r="J20" s="77"/>
      <c r="K20" s="157"/>
      <c r="L20" s="335" t="s">
        <v>151</v>
      </c>
      <c r="M20" s="335"/>
      <c r="N20" s="335"/>
      <c r="O20" s="152"/>
      <c r="P20" s="127"/>
      <c r="Q20" s="132"/>
      <c r="R20" s="132"/>
      <c r="S20" s="132"/>
      <c r="T20" s="132"/>
      <c r="U20" s="132"/>
      <c r="V20" s="132"/>
      <c r="W20" s="128"/>
      <c r="X20" s="128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ht="14.25" customHeight="1">
      <c r="A21" s="2"/>
      <c r="B21" s="144">
        <f t="shared" si="0"/>
        <v>0</v>
      </c>
      <c r="C21" s="141">
        <f>N7</f>
      </c>
      <c r="D21" s="142">
        <f>_xlfn.IFERROR(VLOOKUP($C$21,$C$6:$I$13,2,FALSE),0)</f>
        <v>0</v>
      </c>
      <c r="E21" s="142">
        <f>_xlfn.IFERROR(VLOOKUP($C$21,$C$6:$I$13,3,FALSE),0)</f>
        <v>0</v>
      </c>
      <c r="F21" s="142">
        <f>_xlfn.IFERROR(VLOOKUP($C$21,$C$6:$I$13,4,FALSE),0)</f>
        <v>0</v>
      </c>
      <c r="G21" s="143">
        <f>_xlfn.IFERROR(VLOOKUP($C$21,$C$6:$I$13,5,FALSE),0)</f>
        <v>0</v>
      </c>
      <c r="H21" s="143">
        <f>_xlfn.IFERROR(VLOOKUP($C$21,$C$6:$I$13,6,FALSE),0)</f>
        <v>0</v>
      </c>
      <c r="I21" s="142">
        <f>_xlfn.IFERROR(VLOOKUP($C$21,$C$6:$I$13,7,FALSE),0)</f>
        <v>0</v>
      </c>
      <c r="J21" s="133"/>
      <c r="K21" s="11"/>
      <c r="L21" s="345" t="s">
        <v>149</v>
      </c>
      <c r="M21" s="336"/>
      <c r="N21" s="13">
        <f>IF(L18=FALSE,_xlfn.IFERROR(VLOOKUP(3,class_ap_qual,2,FALSE),""),_xlfn.IFERROR(VLOOKUP(4,class_ap_qual,2,FALSE),""))</f>
      </c>
      <c r="O21" s="152">
        <f>IF(N21&lt;&gt;"",VLOOKUP(N21,$C$6:$J$13,8,FALSE),"")</f>
      </c>
      <c r="P21" s="127"/>
      <c r="Q21" s="132"/>
      <c r="R21" s="132"/>
      <c r="S21" s="132"/>
      <c r="T21" s="132"/>
      <c r="U21" s="132"/>
      <c r="V21" s="132"/>
      <c r="W21" s="128"/>
      <c r="X21" s="128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ht="14.25" customHeight="1">
      <c r="A22" s="2"/>
      <c r="B22" s="171">
        <f t="shared" si="0"/>
        <v>0</v>
      </c>
      <c r="C22" s="147">
        <f>N11</f>
      </c>
      <c r="D22" s="148">
        <f>_xlfn.IFERROR(VLOOKUP($C$22,$C$6:$I$13,2,FALSE),0)</f>
        <v>0</v>
      </c>
      <c r="E22" s="148">
        <f>_xlfn.IFERROR(VLOOKUP($C$22,$C$6:$I$13,3,FALSE),0)</f>
        <v>0</v>
      </c>
      <c r="F22" s="148">
        <f>_xlfn.IFERROR(VLOOKUP($C$22,$C$6:$I$13,4,FALSE),0)</f>
        <v>0</v>
      </c>
      <c r="G22" s="149">
        <f>_xlfn.IFERROR(VLOOKUP($C$22,$C$6:$I$13,5,FALSE),0)</f>
        <v>0</v>
      </c>
      <c r="H22" s="149">
        <f>_xlfn.IFERROR(VLOOKUP($C$22,$C$6:$I$13,6,FALSE),0)</f>
        <v>0</v>
      </c>
      <c r="I22" s="148">
        <f>_xlfn.IFERROR(VLOOKUP($C$22,$C$6:$I$13,7,FALSE),0)</f>
        <v>0</v>
      </c>
      <c r="J22" s="133"/>
      <c r="K22" s="11"/>
      <c r="L22" s="333" t="s">
        <v>86</v>
      </c>
      <c r="M22" s="336"/>
      <c r="N22" s="13">
        <f>IF(L18=FALSE,_xlfn.IFERROR(VLOOKUP(4,class_ap_qual,2,FALSE),""),_xlfn.IFERROR(VLOOKUP(3,class_ap_qual,2,FALSE),""))</f>
      </c>
      <c r="O22" s="152"/>
      <c r="P22" s="127"/>
      <c r="Q22" s="132"/>
      <c r="R22" s="132"/>
      <c r="S22" s="132"/>
      <c r="T22" s="132"/>
      <c r="U22" s="132"/>
      <c r="V22" s="132"/>
      <c r="W22" s="128"/>
      <c r="X22" s="128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ht="14.25" customHeight="1">
      <c r="A23" s="2"/>
      <c r="B23" s="171">
        <f t="shared" si="0"/>
        <v>0</v>
      </c>
      <c r="C23" s="141">
        <f>N8</f>
      </c>
      <c r="D23" s="142">
        <f>_xlfn.IFERROR(VLOOKUP($C$23,$C$6:$I$13,2,FALSE),0)</f>
        <v>0</v>
      </c>
      <c r="E23" s="142">
        <f>_xlfn.IFERROR(VLOOKUP($C$23,$C$6:$I$13,3,FALSE),0)</f>
        <v>0</v>
      </c>
      <c r="F23" s="142">
        <f>_xlfn.IFERROR(VLOOKUP($C$23,$C$6:$I$13,4,FALSE),0)</f>
        <v>0</v>
      </c>
      <c r="G23" s="143">
        <f>_xlfn.IFERROR(VLOOKUP($C$23,$C$6:$I$13,5,FALSE),0)</f>
        <v>0</v>
      </c>
      <c r="H23" s="143">
        <f>_xlfn.IFERROR(VLOOKUP($C$23,$C$6:$I$13,6,FALSE),0)</f>
        <v>0</v>
      </c>
      <c r="I23" s="142">
        <f>_xlfn.IFERROR(VLOOKUP($C$23,$C$6:$I$13,7,FALSE),0)</f>
        <v>0</v>
      </c>
      <c r="J23" s="133"/>
      <c r="K23" s="11"/>
      <c r="L23" s="333" t="s">
        <v>87</v>
      </c>
      <c r="M23" s="336"/>
      <c r="N23" s="13">
        <f>_xlfn.IFERROR(VLOOKUP(5,$B$21:$C$24,2,FALSE),"")</f>
      </c>
      <c r="O23" s="152"/>
      <c r="P23" s="127"/>
      <c r="Q23" s="132"/>
      <c r="R23" s="132"/>
      <c r="S23" s="132"/>
      <c r="T23" s="132"/>
      <c r="U23" s="132"/>
      <c r="V23" s="132"/>
      <c r="W23" s="128"/>
      <c r="X23" s="128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ht="14.25" customHeight="1">
      <c r="A24" s="2"/>
      <c r="B24" s="144">
        <f t="shared" si="0"/>
        <v>0</v>
      </c>
      <c r="C24" s="147">
        <f>N12</f>
      </c>
      <c r="D24" s="148">
        <f>_xlfn.IFERROR(VLOOKUP($C$24,$C$6:$I$13,2,FALSE),0)</f>
        <v>0</v>
      </c>
      <c r="E24" s="148">
        <f>_xlfn.IFERROR(VLOOKUP($C$24,$C$6:$I$13,3,FALSE),0)</f>
        <v>0</v>
      </c>
      <c r="F24" s="148">
        <f>_xlfn.IFERROR(VLOOKUP($C$24,$C$6:$I$13,4,FALSE),0)</f>
        <v>0</v>
      </c>
      <c r="G24" s="149">
        <f>_xlfn.IFERROR(VLOOKUP($C$24,$C$6:$I$13,5,FALSE),0)</f>
        <v>0</v>
      </c>
      <c r="H24" s="149">
        <f>_xlfn.IFERROR(VLOOKUP($C$24,$C$6:$I$13,6,FALSE),0)</f>
        <v>0</v>
      </c>
      <c r="I24" s="148">
        <f>_xlfn.IFERROR(VLOOKUP($C$24,$C$6:$I$13,7,FALSE),0)</f>
        <v>0</v>
      </c>
      <c r="J24" s="133"/>
      <c r="K24" s="11"/>
      <c r="L24" s="333" t="s">
        <v>88</v>
      </c>
      <c r="M24" s="336"/>
      <c r="N24" s="13">
        <f>_xlfn.IFERROR(VLOOKUP(6,$B$21:$C$24,2,FALSE),"")</f>
      </c>
      <c r="O24" s="152"/>
      <c r="P24" s="127"/>
      <c r="Q24" s="132"/>
      <c r="R24" s="132"/>
      <c r="S24" s="132"/>
      <c r="T24" s="132"/>
      <c r="U24" s="132"/>
      <c r="V24" s="132"/>
      <c r="W24" s="128"/>
      <c r="X24" s="128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ht="14.25" customHeight="1">
      <c r="A25" s="2"/>
      <c r="B25" s="171"/>
      <c r="C25" s="145"/>
      <c r="D25" s="145"/>
      <c r="E25" s="145"/>
      <c r="F25" s="145"/>
      <c r="G25" s="145"/>
      <c r="H25" s="145"/>
      <c r="I25" s="145"/>
      <c r="J25" s="145"/>
      <c r="K25" s="145"/>
      <c r="L25" s="140"/>
      <c r="M25" s="13"/>
      <c r="N25" s="13"/>
      <c r="O25" s="152"/>
      <c r="P25" s="127"/>
      <c r="Q25" s="132"/>
      <c r="R25" s="132"/>
      <c r="S25" s="132"/>
      <c r="T25" s="132"/>
      <c r="U25" s="132"/>
      <c r="V25" s="132"/>
      <c r="W25" s="128"/>
      <c r="X25" s="128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ht="13.5" thickBot="1">
      <c r="A26" s="2"/>
      <c r="B26" s="132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ht="13.5" thickTop="1">
      <c r="A27" s="2"/>
      <c r="B27" s="132"/>
      <c r="C27" s="127"/>
      <c r="D27" s="127"/>
      <c r="E27" s="341" t="s">
        <v>156</v>
      </c>
      <c r="F27" s="342"/>
      <c r="G27" s="127"/>
      <c r="H27" s="341" t="s">
        <v>159</v>
      </c>
      <c r="I27" s="342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ht="13.5" thickBot="1">
      <c r="A28" s="2"/>
      <c r="B28" s="132"/>
      <c r="C28" s="127"/>
      <c r="D28" s="127"/>
      <c r="E28" s="343"/>
      <c r="F28" s="344"/>
      <c r="G28" s="127"/>
      <c r="H28" s="343"/>
      <c r="I28" s="344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ht="13.5" thickTop="1">
      <c r="A29" s="2"/>
      <c r="B29" s="132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12.75">
      <c r="A30" s="2"/>
      <c r="B30" s="132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ht="12.75">
      <c r="A31" s="2"/>
      <c r="B31" s="132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ht="12.75">
      <c r="A32" s="2"/>
      <c r="B32" s="132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ht="12.75">
      <c r="A33" s="2"/>
      <c r="B33" s="132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ht="12.75">
      <c r="A34" s="2"/>
      <c r="B34" s="132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ht="12.75">
      <c r="A35" s="2"/>
      <c r="B35" s="132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ht="12.75">
      <c r="A36" s="2"/>
      <c r="B36" s="132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ht="12.75">
      <c r="A37" s="2"/>
      <c r="B37" s="132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ht="12.75">
      <c r="A38" s="2"/>
      <c r="B38" s="132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ht="12.75">
      <c r="A39" s="2"/>
      <c r="B39" s="132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ht="12.75">
      <c r="A40" s="2"/>
      <c r="B40" s="132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ht="12.75">
      <c r="A41" s="2"/>
      <c r="B41" s="132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ht="12.75">
      <c r="A42" s="2"/>
      <c r="B42" s="132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2.75">
      <c r="A43" s="2"/>
      <c r="B43" s="132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2.75">
      <c r="A44" s="2"/>
      <c r="B44" s="132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2.75">
      <c r="A45" s="2"/>
      <c r="B45" s="132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2.75">
      <c r="A46" s="2"/>
      <c r="B46" s="132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2.75">
      <c r="A47" s="2"/>
      <c r="B47" s="132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2.75">
      <c r="A48" s="2"/>
      <c r="B48" s="132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2.75">
      <c r="A49" s="2"/>
      <c r="B49" s="132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2.75">
      <c r="A50" s="2"/>
      <c r="B50" s="132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2.75">
      <c r="A51" s="2"/>
      <c r="B51" s="132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2.75">
      <c r="A52" s="2"/>
      <c r="B52" s="132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2.75">
      <c r="A53" s="2"/>
      <c r="B53" s="132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2.75">
      <c r="A54" s="2"/>
      <c r="B54" s="132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2.75">
      <c r="A55" s="2"/>
      <c r="B55" s="132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2.75">
      <c r="A56" s="2"/>
      <c r="B56" s="132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2.75">
      <c r="A57" s="2"/>
      <c r="B57" s="132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2.75">
      <c r="A58" s="2"/>
      <c r="B58" s="132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2.75">
      <c r="A59" s="2"/>
      <c r="B59" s="132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2.75">
      <c r="A60" s="2"/>
      <c r="B60" s="132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2.75">
      <c r="A61" s="2"/>
      <c r="B61" s="132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2.75">
      <c r="A62" s="2"/>
      <c r="B62" s="132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2.75">
      <c r="A63" s="2"/>
      <c r="B63" s="132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2.75">
      <c r="A64" s="2"/>
      <c r="B64" s="132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2.75">
      <c r="A65" s="2"/>
      <c r="B65" s="132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2.75">
      <c r="A66" s="2"/>
      <c r="B66" s="132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2.75">
      <c r="A67" s="2"/>
      <c r="B67" s="132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2.75">
      <c r="A68" s="2"/>
      <c r="B68" s="132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2.75">
      <c r="A69" s="2"/>
      <c r="B69" s="132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2.75">
      <c r="A70" s="2"/>
      <c r="B70" s="132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2.75">
      <c r="A71" s="2"/>
      <c r="B71" s="132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2.75">
      <c r="A72" s="2"/>
      <c r="B72" s="132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2.75">
      <c r="A73" s="2"/>
      <c r="B73" s="132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2.75">
      <c r="A74" s="2"/>
      <c r="B74" s="132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2.75">
      <c r="A75" s="2"/>
      <c r="B75" s="132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2.75">
      <c r="A76" s="2"/>
      <c r="B76" s="132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12.75">
      <c r="A77" s="2"/>
      <c r="B77" s="132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2.75">
      <c r="A78" s="2"/>
      <c r="B78" s="132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12.75">
      <c r="A79" s="2"/>
      <c r="B79" s="132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2.75">
      <c r="A80" s="2"/>
      <c r="B80" s="132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ht="12.75">
      <c r="A81" s="2"/>
      <c r="B81" s="132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ht="12.75">
      <c r="A82" s="2"/>
      <c r="B82" s="132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ht="12.75">
      <c r="A83" s="2"/>
      <c r="B83" s="132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ht="12.75">
      <c r="A84" s="2"/>
      <c r="B84" s="132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ht="12.75">
      <c r="A85" s="2"/>
      <c r="B85" s="132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ht="12.75">
      <c r="A86" s="2"/>
      <c r="B86" s="132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ht="12.75">
      <c r="A87" s="2"/>
      <c r="B87" s="132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ht="12.75">
      <c r="A88" s="2"/>
      <c r="B88" s="132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</sheetData>
  <sheetProtection password="CA59" sheet="1" selectLockedCells="1"/>
  <mergeCells count="24">
    <mergeCell ref="E27:F28"/>
    <mergeCell ref="H27:I28"/>
    <mergeCell ref="L7:M7"/>
    <mergeCell ref="L8:M8"/>
    <mergeCell ref="L10:M10"/>
    <mergeCell ref="L11:M11"/>
    <mergeCell ref="L17:M17"/>
    <mergeCell ref="L21:M21"/>
    <mergeCell ref="L22:M22"/>
    <mergeCell ref="L23:M23"/>
    <mergeCell ref="L12:M12"/>
    <mergeCell ref="L15:N15"/>
    <mergeCell ref="L20:N20"/>
    <mergeCell ref="L24:M24"/>
    <mergeCell ref="F2:I3"/>
    <mergeCell ref="L16:M16"/>
    <mergeCell ref="L6:M6"/>
    <mergeCell ref="L1:M1"/>
    <mergeCell ref="L2:M2"/>
    <mergeCell ref="L3:M3"/>
    <mergeCell ref="L4:M4"/>
    <mergeCell ref="L5:N5"/>
    <mergeCell ref="A1:G1"/>
    <mergeCell ref="C4:K4"/>
  </mergeCells>
  <hyperlinks>
    <hyperlink ref="E27:F28" location="'Phase de poule'!A1" display="Phase de poule"/>
    <hyperlink ref="H27:I28" location="'Phase finale'!A1" display="Phase finale"/>
  </hyperlinks>
  <printOptions/>
  <pageMargins left="0.787401575" right="0.787401575" top="0.984251969" bottom="0.984251969" header="0.4921259845" footer="0.4921259845"/>
  <pageSetup horizontalDpi="600" verticalDpi="600" orientation="portrait" paperSize="9" r:id="rId2"/>
  <ignoredErrors>
    <ignoredError sqref="B6 B7:B13 B16:B17 B21:B24" unlockedFormula="1"/>
    <ignoredError sqref="O21" evalError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AA29"/>
  <sheetViews>
    <sheetView showGridLines="0" showRowColHeaders="0" zoomScale="120" zoomScaleNormal="120" zoomScalePageLayoutView="0" workbookViewId="0" topLeftCell="A1">
      <selection activeCell="E4" sqref="E4"/>
    </sheetView>
  </sheetViews>
  <sheetFormatPr defaultColWidth="11.5" defaultRowHeight="12.75"/>
  <cols>
    <col min="1" max="1" width="8" style="77" customWidth="1"/>
    <col min="2" max="2" width="7.16015625" style="77" customWidth="1"/>
    <col min="3" max="3" width="32" style="77" customWidth="1"/>
    <col min="4" max="4" width="32" style="77" hidden="1" customWidth="1"/>
    <col min="5" max="6" width="12.5" style="77" customWidth="1"/>
    <col min="7" max="7" width="12" style="77" customWidth="1"/>
    <col min="8" max="9" width="12.5" style="77" customWidth="1"/>
    <col min="10" max="10" width="11.5" style="77" customWidth="1"/>
    <col min="11" max="12" width="11.5" style="72" customWidth="1"/>
    <col min="13" max="14" width="4.83203125" style="72" customWidth="1"/>
    <col min="15" max="16" width="11.5" style="72" customWidth="1"/>
    <col min="17" max="16384" width="11.5" style="77" customWidth="1"/>
  </cols>
  <sheetData>
    <row r="1" spans="1:14" s="72" customFormat="1" ht="51.75" customHeight="1">
      <c r="A1" s="319" t="s">
        <v>153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1"/>
    </row>
    <row r="2" spans="1:27" ht="21.75" customHeight="1">
      <c r="A2" s="73"/>
      <c r="B2" s="72"/>
      <c r="C2" s="74"/>
      <c r="D2" s="74"/>
      <c r="E2" s="75"/>
      <c r="F2" s="73"/>
      <c r="G2" s="74"/>
      <c r="H2" s="74"/>
      <c r="I2" s="74"/>
      <c r="J2" s="76"/>
      <c r="K2" s="76"/>
      <c r="L2" s="76"/>
      <c r="M2" s="76"/>
      <c r="N2" s="76"/>
      <c r="O2" s="76"/>
      <c r="S2" s="76"/>
      <c r="T2" s="76"/>
      <c r="U2" s="76"/>
      <c r="V2" s="76"/>
      <c r="W2" s="76"/>
      <c r="X2" s="76"/>
      <c r="Y2" s="76"/>
      <c r="Z2" s="76"/>
      <c r="AA2" s="76"/>
    </row>
    <row r="3" spans="1:27" s="79" customFormat="1" ht="39.75" customHeight="1">
      <c r="A3" s="353"/>
      <c r="B3" s="353"/>
      <c r="C3" s="169" t="s">
        <v>120</v>
      </c>
      <c r="D3" s="85"/>
      <c r="E3" s="86" t="s">
        <v>7</v>
      </c>
      <c r="F3" s="86" t="s">
        <v>8</v>
      </c>
      <c r="G3" s="86" t="s">
        <v>9</v>
      </c>
      <c r="H3" s="86" t="s">
        <v>10</v>
      </c>
      <c r="I3" s="87" t="s">
        <v>11</v>
      </c>
      <c r="J3" s="78"/>
      <c r="K3" s="78"/>
      <c r="L3" s="78"/>
      <c r="M3" s="78"/>
      <c r="N3" s="78"/>
      <c r="O3" s="78"/>
      <c r="S3" s="78"/>
      <c r="T3" s="78"/>
      <c r="U3" s="78"/>
      <c r="V3" s="78"/>
      <c r="W3" s="78"/>
      <c r="X3" s="78"/>
      <c r="Y3" s="78"/>
      <c r="Z3" s="78"/>
      <c r="AA3" s="78"/>
    </row>
    <row r="4" spans="1:27" ht="24.75" customHeight="1">
      <c r="A4" s="350" t="s">
        <v>122</v>
      </c>
      <c r="B4" s="346" t="s">
        <v>111</v>
      </c>
      <c r="C4" s="81">
        <f>Classement!N16</f>
      </c>
      <c r="D4" s="81">
        <f>C5</f>
      </c>
      <c r="E4" s="93"/>
      <c r="F4" s="93"/>
      <c r="G4" s="93"/>
      <c r="H4" s="90"/>
      <c r="I4" s="82">
        <f>_xlfn.IFERROR(E4/F4,"")</f>
      </c>
      <c r="J4" s="80"/>
      <c r="K4" s="76"/>
      <c r="L4" s="76"/>
      <c r="M4" s="76"/>
      <c r="N4" s="76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spans="1:27" ht="24.75" customHeight="1">
      <c r="A5" s="351"/>
      <c r="B5" s="347"/>
      <c r="C5" s="83">
        <f>Classement!N22</f>
      </c>
      <c r="D5" s="83">
        <f>C4</f>
      </c>
      <c r="E5" s="94"/>
      <c r="F5" s="126">
        <f>IF(F4&lt;&gt;"",F4,"")</f>
      </c>
      <c r="G5" s="94"/>
      <c r="H5" s="126">
        <f>IF(H4&lt;&gt;"",2-H4,"")</f>
      </c>
      <c r="I5" s="84">
        <f>_xlfn.IFERROR(E5/F5,"")</f>
      </c>
      <c r="J5" s="80"/>
      <c r="K5" s="316" t="s">
        <v>127</v>
      </c>
      <c r="L5" s="317"/>
      <c r="M5" s="318"/>
      <c r="N5" s="76"/>
      <c r="S5" s="80"/>
      <c r="T5" s="80"/>
      <c r="U5" s="80"/>
      <c r="V5" s="80"/>
      <c r="W5" s="80"/>
      <c r="X5" s="80"/>
      <c r="Y5" s="80"/>
      <c r="Z5" s="80"/>
      <c r="AA5" s="80"/>
    </row>
    <row r="6" spans="1:27" ht="24.75" customHeight="1">
      <c r="A6" s="351"/>
      <c r="B6" s="348" t="s">
        <v>112</v>
      </c>
      <c r="C6" s="81">
        <f>Classement!N17</f>
      </c>
      <c r="D6" s="81">
        <f>C7</f>
      </c>
      <c r="E6" s="93"/>
      <c r="F6" s="93"/>
      <c r="G6" s="93"/>
      <c r="H6" s="90"/>
      <c r="I6" s="82">
        <f>_xlfn.IFERROR(E6/F6,"")</f>
      </c>
      <c r="J6" s="80"/>
      <c r="K6" s="304">
        <f>IF(Participants!B7&lt;&gt;"",Participants!B7,"")</f>
      </c>
      <c r="L6" s="305"/>
      <c r="M6" s="306"/>
      <c r="N6" s="76"/>
      <c r="S6" s="80"/>
      <c r="T6" s="80"/>
      <c r="U6" s="80"/>
      <c r="V6" s="80"/>
      <c r="W6" s="80"/>
      <c r="X6" s="80"/>
      <c r="Y6" s="80"/>
      <c r="Z6" s="80"/>
      <c r="AA6" s="80"/>
    </row>
    <row r="7" spans="1:27" ht="24.75" customHeight="1">
      <c r="A7" s="352"/>
      <c r="B7" s="349"/>
      <c r="C7" s="83">
        <f>Classement!N21</f>
      </c>
      <c r="D7" s="83">
        <f>C6</f>
      </c>
      <c r="E7" s="94"/>
      <c r="F7" s="126">
        <f>IF(F6&lt;&gt;"",F6,"")</f>
      </c>
      <c r="G7" s="94"/>
      <c r="H7" s="126">
        <f>IF(H6&lt;&gt;"",2-H6,"")</f>
      </c>
      <c r="I7" s="84">
        <f>_xlfn.IFERROR(E7/F7,"")</f>
      </c>
      <c r="J7" s="80"/>
      <c r="K7" s="301" t="s">
        <v>2</v>
      </c>
      <c r="L7" s="302"/>
      <c r="M7" s="303"/>
      <c r="N7" s="76"/>
      <c r="S7" s="80"/>
      <c r="T7" s="80"/>
      <c r="U7" s="80"/>
      <c r="V7" s="80"/>
      <c r="W7" s="80"/>
      <c r="X7" s="80"/>
      <c r="Y7" s="80"/>
      <c r="Z7" s="80"/>
      <c r="AA7" s="80"/>
    </row>
    <row r="8" spans="11:16" ht="24.75" customHeight="1">
      <c r="K8" s="307" t="str">
        <f>IF(Participants!E5&lt;&gt;"",Participants!E5," ")</f>
        <v> </v>
      </c>
      <c r="L8" s="308"/>
      <c r="M8" s="309"/>
      <c r="O8" s="77"/>
      <c r="P8" s="77"/>
    </row>
    <row r="9" spans="1:16" ht="24.75" customHeight="1">
      <c r="A9" s="360" t="s">
        <v>123</v>
      </c>
      <c r="B9" s="356" t="s">
        <v>124</v>
      </c>
      <c r="C9" s="81">
        <f>IF(AND(H4&lt;&gt;"",H5&lt;&gt;""),IF(H4&gt;H5,C4,C5),"")</f>
      </c>
      <c r="D9" s="81">
        <f>C10</f>
      </c>
      <c r="E9" s="93"/>
      <c r="F9" s="93"/>
      <c r="G9" s="93"/>
      <c r="H9" s="90"/>
      <c r="I9" s="82">
        <f aca="true" t="shared" si="0" ref="I9:I14">_xlfn.IFERROR(E9/F9,"")</f>
      </c>
      <c r="J9" s="72"/>
      <c r="K9" s="301" t="s">
        <v>3</v>
      </c>
      <c r="L9" s="302"/>
      <c r="M9" s="303"/>
      <c r="O9" s="77"/>
      <c r="P9" s="77"/>
    </row>
    <row r="10" spans="1:16" ht="24.75" customHeight="1">
      <c r="A10" s="361"/>
      <c r="B10" s="357"/>
      <c r="C10" s="83">
        <f>IF(AND(H6&lt;&gt;"",H7&lt;&gt;""),IF(H6&gt;H7,C6,C7),"")</f>
      </c>
      <c r="D10" s="83">
        <f>C9</f>
      </c>
      <c r="E10" s="94"/>
      <c r="F10" s="126">
        <f>IF(F9&lt;&gt;"",F9,"")</f>
      </c>
      <c r="G10" s="94"/>
      <c r="H10" s="126">
        <f>IF(H9&lt;&gt;"",2-H9,"")</f>
      </c>
      <c r="I10" s="84">
        <f t="shared" si="0"/>
      </c>
      <c r="J10" s="72"/>
      <c r="K10" s="307" t="str">
        <f>IF(Participants!G5&lt;&gt;"",Participants!G5," ")</f>
        <v> </v>
      </c>
      <c r="L10" s="308"/>
      <c r="M10" s="309"/>
      <c r="O10" s="77"/>
      <c r="P10" s="77"/>
    </row>
    <row r="11" spans="1:16" ht="24.75" customHeight="1">
      <c r="A11" s="361"/>
      <c r="B11" s="358" t="s">
        <v>125</v>
      </c>
      <c r="C11" s="81">
        <f>IF(AND(H4&lt;&gt;"",H5&lt;&gt;""),IF(H4&gt;H5,C5,C4),"")</f>
      </c>
      <c r="D11" s="81">
        <f>C12</f>
      </c>
      <c r="E11" s="93"/>
      <c r="F11" s="93"/>
      <c r="G11" s="93"/>
      <c r="H11" s="90"/>
      <c r="I11" s="82">
        <f t="shared" si="0"/>
      </c>
      <c r="J11" s="72"/>
      <c r="K11" s="301" t="s">
        <v>1</v>
      </c>
      <c r="L11" s="302"/>
      <c r="M11" s="303"/>
      <c r="O11" s="77"/>
      <c r="P11" s="77"/>
    </row>
    <row r="12" spans="1:16" ht="24.75" customHeight="1">
      <c r="A12" s="361"/>
      <c r="B12" s="359"/>
      <c r="C12" s="83">
        <f>IF(AND(H6&lt;&gt;"",H7&lt;&gt;""),IF(H6&lt;H7,C6,C7),"")</f>
      </c>
      <c r="D12" s="83">
        <f>C11</f>
      </c>
      <c r="E12" s="94"/>
      <c r="F12" s="126">
        <f>IF(F11&lt;&gt;"",F11,"")</f>
      </c>
      <c r="G12" s="94"/>
      <c r="H12" s="126">
        <f>IF(H11&lt;&gt;"",2-H11,"")</f>
      </c>
      <c r="I12" s="84">
        <f t="shared" si="0"/>
      </c>
      <c r="J12" s="72"/>
      <c r="K12" s="298" t="str">
        <f>IF(Participants!D5&lt;&gt;"",Participants!D5," ")</f>
        <v> </v>
      </c>
      <c r="L12" s="299"/>
      <c r="M12" s="300"/>
      <c r="O12" s="77"/>
      <c r="P12" s="77"/>
    </row>
    <row r="13" spans="1:16" ht="30" customHeight="1">
      <c r="A13" s="361"/>
      <c r="B13" s="354" t="s">
        <v>126</v>
      </c>
      <c r="C13" s="81">
        <f>Classement!N23</f>
      </c>
      <c r="D13" s="81">
        <f>C14</f>
      </c>
      <c r="E13" s="93"/>
      <c r="F13" s="93"/>
      <c r="G13" s="93"/>
      <c r="H13" s="90"/>
      <c r="I13" s="82">
        <f t="shared" si="0"/>
      </c>
      <c r="J13" s="72"/>
      <c r="O13" s="77"/>
      <c r="P13" s="77"/>
    </row>
    <row r="14" spans="1:27" s="72" customFormat="1" ht="30" customHeight="1">
      <c r="A14" s="362"/>
      <c r="B14" s="355"/>
      <c r="C14" s="83">
        <f>Classement!N24</f>
      </c>
      <c r="D14" s="83">
        <f>C13</f>
      </c>
      <c r="E14" s="94"/>
      <c r="F14" s="126">
        <f>IF(F13&lt;&gt;"",F13,"")</f>
      </c>
      <c r="G14" s="94"/>
      <c r="H14" s="126">
        <f>IF(H13&lt;&gt;"",2-H13,"")</f>
      </c>
      <c r="I14" s="84">
        <f t="shared" si="0"/>
      </c>
      <c r="K14" s="295" t="s">
        <v>10</v>
      </c>
      <c r="L14" s="296"/>
      <c r="M14" s="297"/>
      <c r="S14" s="77"/>
      <c r="T14" s="77"/>
      <c r="U14" s="77"/>
      <c r="V14" s="77"/>
      <c r="W14" s="77"/>
      <c r="X14" s="77"/>
      <c r="Y14" s="77"/>
      <c r="Z14" s="77"/>
      <c r="AA14" s="77"/>
    </row>
    <row r="15" spans="1:27" s="72" customFormat="1" ht="19.5" customHeight="1" thickBot="1">
      <c r="A15" s="77"/>
      <c r="B15" s="77"/>
      <c r="C15" s="77"/>
      <c r="D15" s="77"/>
      <c r="E15" s="77"/>
      <c r="F15" s="77"/>
      <c r="G15" s="77"/>
      <c r="H15" s="77"/>
      <c r="I15" s="77"/>
      <c r="K15" s="203" t="s">
        <v>162</v>
      </c>
      <c r="L15" s="206" t="s">
        <v>165</v>
      </c>
      <c r="M15" s="200"/>
      <c r="S15" s="77"/>
      <c r="T15" s="77"/>
      <c r="U15" s="77"/>
      <c r="V15" s="77"/>
      <c r="W15" s="77"/>
      <c r="X15" s="77"/>
      <c r="Y15" s="77"/>
      <c r="Z15" s="77"/>
      <c r="AA15" s="77"/>
    </row>
    <row r="16" spans="1:27" s="72" customFormat="1" ht="19.5" customHeight="1" thickTop="1">
      <c r="A16" s="77"/>
      <c r="B16" s="77"/>
      <c r="C16" s="77"/>
      <c r="D16" s="77"/>
      <c r="E16" s="272" t="s">
        <v>157</v>
      </c>
      <c r="F16" s="273"/>
      <c r="G16" s="77"/>
      <c r="H16" s="272" t="s">
        <v>80</v>
      </c>
      <c r="I16" s="273"/>
      <c r="K16" s="205" t="s">
        <v>164</v>
      </c>
      <c r="L16" s="208" t="s">
        <v>197</v>
      </c>
      <c r="M16" s="202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</row>
    <row r="17" spans="1:27" s="72" customFormat="1" ht="19.5" customHeight="1" thickBot="1">
      <c r="A17" s="77"/>
      <c r="B17" s="77"/>
      <c r="C17" s="77"/>
      <c r="D17" s="77"/>
      <c r="E17" s="274"/>
      <c r="F17" s="275"/>
      <c r="G17" s="77"/>
      <c r="H17" s="274"/>
      <c r="I17" s="275"/>
      <c r="J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spans="1:27" s="72" customFormat="1" ht="19.5" customHeight="1" thickTop="1">
      <c r="A18" s="77"/>
      <c r="B18" s="77"/>
      <c r="C18" s="77"/>
      <c r="D18" s="77"/>
      <c r="E18" s="77"/>
      <c r="F18" s="77"/>
      <c r="G18" s="77"/>
      <c r="H18" s="77"/>
      <c r="I18" s="77"/>
      <c r="J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19" spans="1:27" s="72" customFormat="1" ht="19.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</row>
    <row r="20" spans="1:27" s="72" customFormat="1" ht="19.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</row>
    <row r="21" spans="1:27" s="72" customFormat="1" ht="19.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</row>
    <row r="22" spans="1:27" s="72" customFormat="1" ht="19.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</row>
    <row r="23" spans="1:27" s="72" customFormat="1" ht="19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</row>
    <row r="24" spans="1:27" s="72" customFormat="1" ht="19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</row>
    <row r="25" spans="1:27" s="72" customFormat="1" ht="19.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</row>
    <row r="26" spans="1:27" s="72" customFormat="1" ht="19.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</row>
    <row r="27" spans="1:27" s="72" customFormat="1" ht="19.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</row>
    <row r="28" spans="1:27" s="72" customFormat="1" ht="19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</row>
    <row r="29" spans="1:27" s="72" customFormat="1" ht="19.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</row>
    <row r="30" ht="19.5" customHeight="1"/>
    <row r="31" ht="19.5" customHeight="1"/>
  </sheetData>
  <sheetProtection password="CA59" sheet="1" selectLockedCells="1"/>
  <mergeCells count="20">
    <mergeCell ref="E16:F17"/>
    <mergeCell ref="H16:I17"/>
    <mergeCell ref="K8:M8"/>
    <mergeCell ref="K11:M11"/>
    <mergeCell ref="A3:B3"/>
    <mergeCell ref="B13:B14"/>
    <mergeCell ref="B9:B10"/>
    <mergeCell ref="K12:M12"/>
    <mergeCell ref="B11:B12"/>
    <mergeCell ref="A9:A14"/>
    <mergeCell ref="K14:M14"/>
    <mergeCell ref="K7:M7"/>
    <mergeCell ref="K10:M10"/>
    <mergeCell ref="A1:N1"/>
    <mergeCell ref="B4:B5"/>
    <mergeCell ref="B6:B7"/>
    <mergeCell ref="K9:M9"/>
    <mergeCell ref="A4:A7"/>
    <mergeCell ref="K5:M5"/>
    <mergeCell ref="K6:M6"/>
  </mergeCells>
  <dataValidations count="1">
    <dataValidation type="list" allowBlank="1" showInputMessage="1" showErrorMessage="1" promptTitle="Points de match" errorTitle="ATTENTION" error="Saisie incorrecte" sqref="H11 H4 H6 H9 H13">
      <formula1>pt_final</formula1>
    </dataValidation>
  </dataValidations>
  <hyperlinks>
    <hyperlink ref="E16:F17" location="'Feuille de match'!A1" display="Feuille de match"/>
    <hyperlink ref="H16:I17" location="Classement!A1" display="Classement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F5 F10 F12 F1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AC69"/>
  <sheetViews>
    <sheetView showGridLines="0" zoomScale="110" zoomScaleNormal="110" zoomScalePageLayoutView="0" workbookViewId="0" topLeftCell="A1">
      <selection activeCell="N18" sqref="N18"/>
    </sheetView>
  </sheetViews>
  <sheetFormatPr defaultColWidth="12" defaultRowHeight="12.75"/>
  <cols>
    <col min="1" max="1" width="20.33203125" style="123" customWidth="1"/>
    <col min="2" max="3" width="6.33203125" style="123" customWidth="1"/>
    <col min="4" max="4" width="5" style="123" customWidth="1"/>
    <col min="5" max="5" width="8.66015625" style="123" customWidth="1"/>
    <col min="6" max="6" width="7.33203125" style="123" customWidth="1"/>
    <col min="7" max="7" width="2.5" style="123" customWidth="1"/>
    <col min="8" max="8" width="20.33203125" style="123" customWidth="1"/>
    <col min="9" max="10" width="6.33203125" style="123" customWidth="1"/>
    <col min="11" max="11" width="5.16015625" style="123" customWidth="1"/>
    <col min="12" max="12" width="8.66015625" style="123" customWidth="1"/>
    <col min="13" max="13" width="7.5" style="123" customWidth="1"/>
    <col min="14" max="14" width="12" style="3" customWidth="1"/>
    <col min="15" max="24" width="8.33203125" style="3" hidden="1" customWidth="1"/>
    <col min="25" max="27" width="6.16015625" style="3" hidden="1" customWidth="1"/>
    <col min="28" max="28" width="6.16015625" style="3" customWidth="1"/>
    <col min="29" max="35" width="12" style="123" customWidth="1"/>
    <col min="36" max="16384" width="12" style="123" customWidth="1"/>
  </cols>
  <sheetData>
    <row r="1" spans="1:13" ht="33" customHeight="1">
      <c r="A1" s="370" t="s">
        <v>17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2"/>
    </row>
    <row r="2" spans="1:13" ht="23.25" customHeight="1" thickBot="1">
      <c r="A2" s="373" t="s">
        <v>270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5"/>
    </row>
    <row r="3" spans="1:13" ht="6" customHeight="1">
      <c r="A3" s="15"/>
      <c r="B3" s="15"/>
      <c r="C3" s="15"/>
      <c r="D3" s="15"/>
      <c r="E3" s="15"/>
      <c r="F3" s="15"/>
      <c r="G3" s="15"/>
      <c r="H3" s="16"/>
      <c r="I3" s="17"/>
      <c r="J3" s="15"/>
      <c r="K3" s="18"/>
      <c r="L3" s="18"/>
      <c r="M3" s="18"/>
    </row>
    <row r="4" spans="1:13" ht="15.75" customHeight="1">
      <c r="A4" s="19" t="s">
        <v>18</v>
      </c>
      <c r="B4" s="379" t="str">
        <f>IF(Participants!K9&lt;&gt;"",Participants!K9," ")</f>
        <v> </v>
      </c>
      <c r="C4" s="379"/>
      <c r="D4" s="379"/>
      <c r="E4" s="379"/>
      <c r="F4" s="379"/>
      <c r="G4" s="20"/>
      <c r="H4" s="19" t="s">
        <v>19</v>
      </c>
      <c r="I4" s="376">
        <f>IF(Participants!D5="","",Participants!D5)</f>
      </c>
      <c r="J4" s="376"/>
      <c r="K4" s="376"/>
      <c r="L4" s="19" t="s">
        <v>76</v>
      </c>
      <c r="M4" s="97">
        <f>IF(Participants!F5="","",Participants!F5)</f>
      </c>
    </row>
    <row r="5" spans="1:13" ht="15.75" customHeight="1">
      <c r="A5" s="22"/>
      <c r="B5" s="3"/>
      <c r="C5" s="3"/>
      <c r="D5" s="3"/>
      <c r="E5" s="3"/>
      <c r="F5" s="3"/>
      <c r="G5" s="21"/>
      <c r="H5" s="19" t="s">
        <v>20</v>
      </c>
      <c r="I5" s="376">
        <f>IF(Participants!E5="","",Participants!E5)</f>
      </c>
      <c r="J5" s="376"/>
      <c r="K5" s="376"/>
      <c r="L5" s="376"/>
      <c r="M5" s="376"/>
    </row>
    <row r="6" spans="1:18" ht="15.75" customHeight="1">
      <c r="A6" s="22"/>
      <c r="B6" s="369" t="str">
        <f>IF(Participants!K10&lt;&gt;"",Participants!K10," ")</f>
        <v> </v>
      </c>
      <c r="C6" s="369"/>
      <c r="D6" s="369"/>
      <c r="E6" s="369"/>
      <c r="F6" s="369"/>
      <c r="G6" s="21"/>
      <c r="H6" s="19" t="s">
        <v>21</v>
      </c>
      <c r="I6" s="376">
        <f>IF(Participants!G5="","",Participants!G5)</f>
      </c>
      <c r="J6" s="376"/>
      <c r="K6" s="376"/>
      <c r="L6" s="376"/>
      <c r="M6" s="376"/>
      <c r="O6" s="3" t="s">
        <v>129</v>
      </c>
      <c r="R6" s="166">
        <f>COUNTBLANK(phase_finale)</f>
        <v>6</v>
      </c>
    </row>
    <row r="7" spans="1:13" ht="10.5" customHeight="1">
      <c r="A7" s="22"/>
      <c r="B7" s="369" t="str">
        <f>IF(Participants!K11&lt;&gt;"",Participants!K11," ")</f>
        <v> </v>
      </c>
      <c r="C7" s="369"/>
      <c r="D7" s="369"/>
      <c r="E7" s="369"/>
      <c r="F7" s="369"/>
      <c r="G7" s="21"/>
      <c r="H7" s="23"/>
      <c r="I7" s="3"/>
      <c r="J7" s="24"/>
      <c r="K7" s="22"/>
      <c r="L7" s="22"/>
      <c r="M7" s="22"/>
    </row>
    <row r="8" spans="1:13" ht="15.75" customHeight="1">
      <c r="A8" s="22"/>
      <c r="B8" s="369" t="str">
        <f>IF(Participants!K12&lt;&gt;"",Participants!K12," ")</f>
        <v> </v>
      </c>
      <c r="C8" s="369"/>
      <c r="D8" s="369"/>
      <c r="E8" s="369"/>
      <c r="F8" s="369"/>
      <c r="G8" s="21"/>
      <c r="H8" s="19" t="s">
        <v>22</v>
      </c>
      <c r="I8" s="368" t="str">
        <f>IF(Participants!B7&lt;&gt;"",Participants!B7," ")</f>
        <v> </v>
      </c>
      <c r="J8" s="368"/>
      <c r="K8" s="368"/>
      <c r="L8" s="368"/>
      <c r="M8" s="368"/>
    </row>
    <row r="9" spans="1:13" ht="9" customHeight="1">
      <c r="A9" s="26"/>
      <c r="B9" s="27"/>
      <c r="C9" s="27"/>
      <c r="D9" s="28"/>
      <c r="E9" s="28"/>
      <c r="F9" s="28"/>
      <c r="G9" s="28"/>
      <c r="H9" s="29"/>
      <c r="I9" s="26"/>
      <c r="J9" s="28"/>
      <c r="K9" s="28"/>
      <c r="L9" s="28"/>
      <c r="M9" s="28"/>
    </row>
    <row r="10" spans="1:13" ht="4.5" customHeight="1">
      <c r="A10" s="28"/>
      <c r="B10" s="28"/>
      <c r="C10" s="28"/>
      <c r="D10" s="28"/>
      <c r="E10" s="28"/>
      <c r="F10" s="28"/>
      <c r="G10" s="28"/>
      <c r="H10" s="29"/>
      <c r="I10" s="28"/>
      <c r="J10" s="28"/>
      <c r="K10" s="28"/>
      <c r="L10" s="28"/>
      <c r="M10" s="28"/>
    </row>
    <row r="11" spans="1:13" ht="12.75" customHeight="1">
      <c r="A11" s="30" t="s">
        <v>33</v>
      </c>
      <c r="B11" s="31"/>
      <c r="C11" s="366">
        <f>IF(Participants!D10="","",Participants!D10)</f>
      </c>
      <c r="D11" s="366"/>
      <c r="E11" s="366"/>
      <c r="F11" s="367"/>
      <c r="G11" s="32"/>
      <c r="H11" s="30" t="s">
        <v>34</v>
      </c>
      <c r="I11" s="98"/>
      <c r="J11" s="366">
        <f>IF(Participants!D14="","",Participants!D14)</f>
      </c>
      <c r="K11" s="366"/>
      <c r="L11" s="366"/>
      <c r="M11" s="367"/>
    </row>
    <row r="12" spans="1:25" ht="12.75" customHeight="1">
      <c r="A12" s="33" t="str">
        <f>IF(Participants!F10="","",Participants!F10)</f>
        <v> </v>
      </c>
      <c r="B12" s="34" t="s">
        <v>27</v>
      </c>
      <c r="C12" s="377" t="str">
        <f>IF(Participants!E10="","",Participants!E10)</f>
        <v> </v>
      </c>
      <c r="D12" s="377"/>
      <c r="E12" s="377"/>
      <c r="F12" s="378"/>
      <c r="G12" s="32"/>
      <c r="H12" s="99" t="str">
        <f>IF(Participants!F14="","",Participants!F14)</f>
        <v> </v>
      </c>
      <c r="I12" s="34" t="s">
        <v>27</v>
      </c>
      <c r="J12" s="380" t="str">
        <f>IF(Participants!E14="","",Participants!E14)</f>
        <v> </v>
      </c>
      <c r="K12" s="380"/>
      <c r="L12" s="380"/>
      <c r="M12" s="378"/>
      <c r="O12" s="363">
        <f>C11</f>
      </c>
      <c r="P12" s="364"/>
      <c r="Q12" s="364"/>
      <c r="R12" s="364"/>
      <c r="S12" s="365"/>
      <c r="U12" s="363">
        <f>J11</f>
      </c>
      <c r="V12" s="364"/>
      <c r="W12" s="364"/>
      <c r="X12" s="364"/>
      <c r="Y12" s="365"/>
    </row>
    <row r="13" spans="1:25" ht="16.5">
      <c r="A13" s="100"/>
      <c r="B13" s="101" t="s">
        <v>7</v>
      </c>
      <c r="C13" s="101" t="s">
        <v>8</v>
      </c>
      <c r="D13" s="101" t="s">
        <v>9</v>
      </c>
      <c r="E13" s="102" t="s">
        <v>11</v>
      </c>
      <c r="F13" s="89" t="s">
        <v>28</v>
      </c>
      <c r="G13" s="3"/>
      <c r="H13" s="103"/>
      <c r="I13" s="101" t="s">
        <v>7</v>
      </c>
      <c r="J13" s="101" t="s">
        <v>8</v>
      </c>
      <c r="K13" s="104" t="s">
        <v>9</v>
      </c>
      <c r="L13" s="102" t="s">
        <v>11</v>
      </c>
      <c r="M13" s="35" t="s">
        <v>28</v>
      </c>
      <c r="O13" s="124">
        <f>IF(F14&gt;1,E14,0)</f>
        <v>0</v>
      </c>
      <c r="P13" s="124">
        <f>IF(F15&gt;1,E15,0)</f>
        <v>0</v>
      </c>
      <c r="Q13" s="124">
        <f>IF(F16&gt;1,E16,0)</f>
        <v>0</v>
      </c>
      <c r="R13" s="124">
        <f>IF(F17&gt;1,E17,0)</f>
        <v>0</v>
      </c>
      <c r="S13" s="124">
        <f>IF(F18&gt;1,E18,0)</f>
        <v>0</v>
      </c>
      <c r="T13" s="71"/>
      <c r="U13" s="124">
        <f>IF(M14&gt;1,L14,0)</f>
        <v>0</v>
      </c>
      <c r="V13" s="124">
        <f>IF(M15&gt;1,L15,0)</f>
        <v>0</v>
      </c>
      <c r="W13" s="124">
        <f>IF(M16&gt;1,L16,0)</f>
        <v>0</v>
      </c>
      <c r="X13" s="124">
        <f>IF(M17&gt;1,L17,0)</f>
        <v>0</v>
      </c>
      <c r="Y13" s="124">
        <f>IF(M18&gt;1,L18,0)</f>
        <v>0</v>
      </c>
    </row>
    <row r="14" spans="1:13" ht="13.5">
      <c r="A14" s="164">
        <f>IF(C11='Phase de poule'!C4,'Phase de poule'!C5,IF(C11='Phase de poule'!C5,'Phase de poule'!C4," "))</f>
      </c>
      <c r="B14" s="119">
        <f>_xlfn.IFERROR(VLOOKUP(C11,poule_a_t_1,2,FALSE),"")</f>
        <v>0</v>
      </c>
      <c r="C14" s="119">
        <f>_xlfn.IFERROR(VLOOKUP(C11,poule_a_t_1,3,FALSE),"")</f>
        <v>0</v>
      </c>
      <c r="D14" s="119">
        <f>_xlfn.IFERROR(VLOOKUP(C11,poule_a_t_1,4,FALSE),"")</f>
        <v>0</v>
      </c>
      <c r="E14" s="88">
        <f>_xlfn.IFERROR(VLOOKUP(C11,poule_a_t_1,6,FALSE),"")</f>
      </c>
      <c r="F14" s="119">
        <f>_xlfn.IFERROR(VLOOKUP(C11,poule_a_t_1,5,FALSE),"")</f>
        <v>0</v>
      </c>
      <c r="G14" s="36"/>
      <c r="H14" s="122">
        <f>IF(J11='Phase de poule'!C6,'Phase de poule'!C7,IF(J11='Phase de poule'!C7,'Phase de poule'!C6," "))</f>
      </c>
      <c r="I14" s="119">
        <f>_xlfn.IFERROR(VLOOKUP(J11,poule_b_t_1,2,FALSE),"")</f>
        <v>0</v>
      </c>
      <c r="J14" s="119">
        <f>_xlfn.IFERROR(VLOOKUP(J11,poule_b_t_1,3,FALSE),"")</f>
        <v>0</v>
      </c>
      <c r="K14" s="119">
        <f>_xlfn.IFERROR(VLOOKUP(J11,poule_b_t_1,4,FALSE),"")</f>
        <v>0</v>
      </c>
      <c r="L14" s="88">
        <f>_xlfn.IFERROR(VLOOKUP(J11,poule_b_t_1,6,FALSE),"")</f>
      </c>
      <c r="M14" s="119">
        <f>_xlfn.IFERROR(VLOOKUP(J11,poule_b_t_1,5,FALSE),"")</f>
        <v>0</v>
      </c>
    </row>
    <row r="15" spans="1:13" ht="13.5">
      <c r="A15" s="164">
        <f>IF(C11='Phase de poule'!C9,'Phase de poule'!C10,IF(C11='Phase de poule'!C9,'Phase de poule'!C10," "))</f>
      </c>
      <c r="B15" s="119">
        <f>_xlfn.IFERROR(VLOOKUP(C11,poule_a_t_2,2,FALSE),"")</f>
        <v>0</v>
      </c>
      <c r="C15" s="119">
        <f>_xlfn.IFERROR(VLOOKUP(C11,poule_a_t_2,3,FALSE),"")</f>
        <v>0</v>
      </c>
      <c r="D15" s="119">
        <f>_xlfn.IFERROR(VLOOKUP(C11,poule_a_t_2,4,FALSE),"")</f>
        <v>0</v>
      </c>
      <c r="E15" s="88">
        <f>_xlfn.IFERROR(VLOOKUP(C11,poule_a_t_2,6,FALSE),"")</f>
      </c>
      <c r="F15" s="119">
        <f>_xlfn.IFERROR(VLOOKUP(C11,poule_a_t_2,5,FALSE),"")</f>
        <v>0</v>
      </c>
      <c r="G15" s="36"/>
      <c r="H15" s="122">
        <f>IF(J11='Phase de poule'!C11,'Phase de poule'!C12,IF(J11='Phase de poule'!C12,'Phase de poule'!C11," "))</f>
      </c>
      <c r="I15" s="119">
        <f>_xlfn.IFERROR(VLOOKUP(J11,poule_b_t_2,2,FALSE),"")</f>
        <v>0</v>
      </c>
      <c r="J15" s="119">
        <f>_xlfn.IFERROR(VLOOKUP(J11,poule_b_t_2,3,FALSE),"")</f>
        <v>0</v>
      </c>
      <c r="K15" s="119">
        <f>_xlfn.IFERROR(VLOOKUP(J11,poule_b_t_2,4,FALSE),"")</f>
        <v>0</v>
      </c>
      <c r="L15" s="88">
        <f>_xlfn.IFERROR(VLOOKUP(J11,poule_b_t_2,6,FALSE),"")</f>
      </c>
      <c r="M15" s="119">
        <f>_xlfn.IFERROR(VLOOKUP(J11,poule_b_t_2,5,FALSE),"")</f>
        <v>0</v>
      </c>
    </row>
    <row r="16" spans="1:13" ht="13.5">
      <c r="A16" s="164">
        <f>IF(C11='Phase de poule'!C14,'Phase de poule'!C15,IF(C11='Phase de poule'!C15,'Phase de poule'!C14," "))</f>
      </c>
      <c r="B16" s="119">
        <f>_xlfn.IFERROR(VLOOKUP(C11,poule_a_t_3,2,FALSE),"")</f>
        <v>0</v>
      </c>
      <c r="C16" s="119">
        <f>_xlfn.IFERROR(VLOOKUP(C11,poule_a_t_3,3,FALSE),"")</f>
        <v>0</v>
      </c>
      <c r="D16" s="119">
        <f>_xlfn.IFERROR(VLOOKUP(C11,poule_a_t_3,4,FALSE),"")</f>
        <v>0</v>
      </c>
      <c r="E16" s="88">
        <f>_xlfn.IFERROR(VLOOKUP(C11,poule_a_t_3,6,FALSE),"")</f>
      </c>
      <c r="F16" s="119">
        <f>_xlfn.IFERROR(VLOOKUP(C11,poule_a_t_3,5,FALSE),"")</f>
        <v>0</v>
      </c>
      <c r="G16" s="36"/>
      <c r="H16" s="122">
        <f>IF(J11='Phase de poule'!C16,'Phase de poule'!C17,IF(J11='Phase de poule'!C17,'Phase de poule'!C16," "))</f>
      </c>
      <c r="I16" s="119">
        <f>_xlfn.IFERROR(VLOOKUP(J11,poule_b_t_3,2,FALSE),"")</f>
        <v>0</v>
      </c>
      <c r="J16" s="119">
        <f>_xlfn.IFERROR(VLOOKUP(J11,poule_b_t_3,3,FALSE),"")</f>
        <v>0</v>
      </c>
      <c r="K16" s="119">
        <f>_xlfn.IFERROR(VLOOKUP(J11,poule_b_t_3,4,FALSE),"")</f>
        <v>0</v>
      </c>
      <c r="L16" s="88">
        <f>_xlfn.IFERROR(VLOOKUP(J11,poule_b_t_3,6,FALSE),"")</f>
      </c>
      <c r="M16" s="119">
        <f>_xlfn.IFERROR(VLOOKUP(J11,poule_b_t_3,5,FALSE),"")</f>
        <v>0</v>
      </c>
    </row>
    <row r="17" spans="1:13" ht="13.5">
      <c r="A17" s="164">
        <f>_xlfn.IFERROR(VLOOKUP(C11,tour_num_4,2,FALSE),"")</f>
      </c>
      <c r="B17" s="120">
        <f>_xlfn.IFERROR(VLOOKUP(C11,tour_num_4,3,FALSE),"")</f>
        <v>0</v>
      </c>
      <c r="C17" s="120">
        <f>_xlfn.IFERROR(VLOOKUP(C11,tour_num_4,4,FALSE),"")</f>
        <v>0</v>
      </c>
      <c r="D17" s="120">
        <f>_xlfn.IFERROR(VLOOKUP(C11,tour_num_4,5,FALSE),"")</f>
        <v>0</v>
      </c>
      <c r="E17" s="121">
        <f>_xlfn.IFERROR(VLOOKUP(C11,tour_num_4,7,FALSE),"")</f>
      </c>
      <c r="F17" s="119">
        <f>_xlfn.IFERROR(VLOOKUP(C11,tour_num_4,6,FALSE),"")</f>
        <v>0</v>
      </c>
      <c r="G17" s="36"/>
      <c r="H17" s="122">
        <f>_xlfn.IFERROR(VLOOKUP(J11,tour_num_4,2,FALSE),"")</f>
      </c>
      <c r="I17" s="120">
        <f>_xlfn.IFERROR(VLOOKUP(J11,tour_num_4,3,FALSE),"")</f>
        <v>0</v>
      </c>
      <c r="J17" s="120">
        <f>_xlfn.IFERROR(VLOOKUP(J11,tour_num_4,4,FALSE),"")</f>
        <v>0</v>
      </c>
      <c r="K17" s="120">
        <f>_xlfn.IFERROR(VLOOKUP(J11,tour_num_4,5,FALSE),"")</f>
        <v>0</v>
      </c>
      <c r="L17" s="121">
        <f>_xlfn.IFERROR(VLOOKUP(J11,tour_num_4,7,FALSE),"")</f>
      </c>
      <c r="M17" s="119">
        <f>_xlfn.IFERROR(VLOOKUP(J11,tour_num_4,6,FALSE),"")</f>
        <v>0</v>
      </c>
    </row>
    <row r="18" spans="1:21" ht="13.5">
      <c r="A18" s="164">
        <f>_xlfn.IFERROR(VLOOKUP(C11,tour_num_5,2,FALSE),"")</f>
      </c>
      <c r="B18" s="120">
        <f>_xlfn.IFERROR(VLOOKUP(C11,tour_num_5,3,FALSE),"")</f>
        <v>0</v>
      </c>
      <c r="C18" s="120">
        <f>_xlfn.IFERROR(VLOOKUP(C11,tour_num_5,4,FALSE),"")</f>
        <v>0</v>
      </c>
      <c r="D18" s="120">
        <f>_xlfn.IFERROR(VLOOKUP(C11,tour_num_5,5,FALSE),"")</f>
        <v>0</v>
      </c>
      <c r="E18" s="121">
        <f>_xlfn.IFERROR(VLOOKUP(C11,tour_num_5,7,FALSE),"")</f>
      </c>
      <c r="F18" s="119">
        <f>_xlfn.IFERROR(VLOOKUP(C11,tour_num_5,6,FALSE),"")</f>
        <v>0</v>
      </c>
      <c r="G18" s="36"/>
      <c r="H18" s="122">
        <f>_xlfn.IFERROR(VLOOKUP(J11,tour_num_5,2,FALSE),"")</f>
      </c>
      <c r="I18" s="120">
        <f>_xlfn.IFERROR(VLOOKUP(J11,tour_num_5,3,FALSE),"")</f>
        <v>0</v>
      </c>
      <c r="J18" s="120">
        <f>_xlfn.IFERROR(VLOOKUP(J11,tour_num_5,4,FALSE),"")</f>
        <v>0</v>
      </c>
      <c r="K18" s="120">
        <f>_xlfn.IFERROR(VLOOKUP(J11,tour_num_5,5,FALSE),"")</f>
        <v>0</v>
      </c>
      <c r="L18" s="121">
        <f>_xlfn.IFERROR(VLOOKUP(J11,tour_num_5,7,FALSE),"")</f>
      </c>
      <c r="M18" s="119">
        <f>_xlfn.IFERROR(VLOOKUP(J11,tour_num_5,6,FALSE),"")</f>
        <v>0</v>
      </c>
      <c r="U18" s="125"/>
    </row>
    <row r="19" spans="1:13" ht="3.75" customHeight="1">
      <c r="A19" s="105"/>
      <c r="B19" s="106"/>
      <c r="C19" s="106"/>
      <c r="D19" s="106"/>
      <c r="E19" s="37"/>
      <c r="F19" s="118"/>
      <c r="G19" s="107"/>
      <c r="H19" s="3"/>
      <c r="I19" s="108"/>
      <c r="J19" s="109"/>
      <c r="K19" s="109"/>
      <c r="L19" s="110"/>
      <c r="M19" s="111"/>
    </row>
    <row r="20" spans="1:13" ht="13.5">
      <c r="A20" s="38" t="s">
        <v>29</v>
      </c>
      <c r="B20" s="250">
        <f>SUM(B14:B18)</f>
        <v>0</v>
      </c>
      <c r="C20" s="250">
        <f>SUM(C14:C18)</f>
        <v>0</v>
      </c>
      <c r="D20" s="250">
        <f>MAX(D14:D18)</f>
        <v>0</v>
      </c>
      <c r="E20" s="251">
        <f>IF(C20&gt;0,B20/C20,0)</f>
        <v>0</v>
      </c>
      <c r="F20" s="250">
        <f>SUM(F14:F18)</f>
        <v>0</v>
      </c>
      <c r="G20" s="36"/>
      <c r="H20" s="38" t="s">
        <v>29</v>
      </c>
      <c r="I20" s="250">
        <f>SUM(I14:I18)</f>
        <v>0</v>
      </c>
      <c r="J20" s="250">
        <f>SUM(J14:J18)</f>
        <v>0</v>
      </c>
      <c r="K20" s="250">
        <f>MAX(K14:K18)</f>
        <v>0</v>
      </c>
      <c r="L20" s="251">
        <f>IF(J20&gt;0,I20/J20,0)</f>
        <v>0</v>
      </c>
      <c r="M20" s="250">
        <f>SUM(M14:M18)</f>
        <v>0</v>
      </c>
    </row>
    <row r="21" spans="1:13" ht="5.25" customHeight="1">
      <c r="A21" s="39"/>
      <c r="B21" s="25"/>
      <c r="C21" s="25"/>
      <c r="D21" s="20"/>
      <c r="E21" s="25"/>
      <c r="F21" s="40"/>
      <c r="G21" s="41"/>
      <c r="H21" s="39"/>
      <c r="I21" s="25"/>
      <c r="J21" s="25"/>
      <c r="K21" s="20"/>
      <c r="L21" s="25"/>
      <c r="M21" s="40"/>
    </row>
    <row r="22" spans="1:13" ht="13.5">
      <c r="A22" s="231" t="s">
        <v>193</v>
      </c>
      <c r="B22" s="254">
        <f>IF(Participants!G10="","",Participants!G10)</f>
      </c>
      <c r="C22" s="381" t="s">
        <v>31</v>
      </c>
      <c r="D22" s="382"/>
      <c r="E22" s="382"/>
      <c r="F22" s="44">
        <f>MAX(O13:S13)</f>
        <v>0</v>
      </c>
      <c r="G22" s="45"/>
      <c r="H22" s="231" t="s">
        <v>193</v>
      </c>
      <c r="I22" s="254">
        <f>IF(Participants!G14="","",Participants!G14)</f>
      </c>
      <c r="J22" s="381" t="s">
        <v>31</v>
      </c>
      <c r="K22" s="382"/>
      <c r="L22" s="382"/>
      <c r="M22" s="44">
        <f>MAX(U13:Y13)</f>
        <v>0</v>
      </c>
    </row>
    <row r="23" spans="1:13" ht="13.5">
      <c r="A23" s="42" t="s">
        <v>267</v>
      </c>
      <c r="B23" s="254">
        <f>F20</f>
        <v>0</v>
      </c>
      <c r="C23" s="249" t="s">
        <v>266</v>
      </c>
      <c r="D23" s="253">
        <f>IF($R$6=0,_xlfn.IFERROR(VLOOKUP(C11,classement_final,4,FALSE),""),0)</f>
        <v>0</v>
      </c>
      <c r="E23" s="22"/>
      <c r="F23" s="112"/>
      <c r="G23" s="112"/>
      <c r="H23" s="42" t="s">
        <v>267</v>
      </c>
      <c r="I23" s="254">
        <f>M20</f>
        <v>0</v>
      </c>
      <c r="J23" s="249" t="s">
        <v>268</v>
      </c>
      <c r="K23" s="253">
        <f>IF($R$6=0,_xlfn.IFERROR(VLOOKUP(J11,classement_final,4,FALSE),""),0)</f>
        <v>0</v>
      </c>
      <c r="L23" s="22"/>
      <c r="M23" s="112"/>
    </row>
    <row r="24" spans="1:13" ht="13.5">
      <c r="A24" s="42" t="s">
        <v>30</v>
      </c>
      <c r="B24" s="254">
        <f>IF($R$6=0,_xlfn.IFERROR(VLOOKUP(C11,classement_final,5,FALSE),""),0)</f>
        <v>0</v>
      </c>
      <c r="C24" s="46" t="s">
        <v>32</v>
      </c>
      <c r="D24" s="43"/>
      <c r="E24" s="21"/>
      <c r="F24" s="47"/>
      <c r="G24" s="47"/>
      <c r="H24" s="42" t="s">
        <v>30</v>
      </c>
      <c r="I24" s="254">
        <f>IF($R$6=0,_xlfn.IFERROR(VLOOKUP(J11,classement_final,5,FALSE),""),0)</f>
        <v>0</v>
      </c>
      <c r="J24" s="46" t="s">
        <v>32</v>
      </c>
      <c r="K24" s="43"/>
      <c r="L24" s="21"/>
      <c r="M24" s="47"/>
    </row>
    <row r="25" spans="1:13" ht="12.75">
      <c r="A25" s="232" t="s">
        <v>192</v>
      </c>
      <c r="B25" s="252">
        <f>SUM(B22,B24,F20)</f>
        <v>0</v>
      </c>
      <c r="C25" s="48"/>
      <c r="D25" s="113"/>
      <c r="E25" s="113"/>
      <c r="F25" s="114"/>
      <c r="G25" s="115"/>
      <c r="H25" s="232" t="s">
        <v>192</v>
      </c>
      <c r="I25" s="252">
        <f>SUM(I22,I24,M20)</f>
        <v>0</v>
      </c>
      <c r="J25" s="48"/>
      <c r="K25" s="113"/>
      <c r="L25" s="113"/>
      <c r="M25" s="114"/>
    </row>
    <row r="26" spans="1:13" ht="12.75" customHeight="1">
      <c r="A26" s="49"/>
      <c r="B26" s="28"/>
      <c r="C26" s="28"/>
      <c r="D26" s="28"/>
      <c r="E26" s="28"/>
      <c r="F26" s="28"/>
      <c r="G26" s="28"/>
      <c r="H26" s="29"/>
      <c r="I26" s="26"/>
      <c r="J26" s="28"/>
      <c r="K26" s="28"/>
      <c r="L26" s="28"/>
      <c r="M26" s="28"/>
    </row>
    <row r="27" spans="1:13" ht="12.75">
      <c r="A27" s="30" t="s">
        <v>40</v>
      </c>
      <c r="B27" s="31"/>
      <c r="C27" s="366">
        <f>IF(Participants!D11="","",Participants!D11)</f>
      </c>
      <c r="D27" s="366"/>
      <c r="E27" s="366"/>
      <c r="F27" s="367"/>
      <c r="G27" s="32"/>
      <c r="H27" s="30" t="s">
        <v>42</v>
      </c>
      <c r="I27" s="98"/>
      <c r="J27" s="366">
        <f>IF(Participants!D15="","",Participants!D15)</f>
      </c>
      <c r="K27" s="366"/>
      <c r="L27" s="366"/>
      <c r="M27" s="367"/>
    </row>
    <row r="28" spans="1:25" ht="12.75">
      <c r="A28" s="33" t="str">
        <f>IF(Participants!F11="","",Participants!F11)</f>
        <v> </v>
      </c>
      <c r="B28" s="34" t="s">
        <v>27</v>
      </c>
      <c r="C28" s="377" t="str">
        <f>IF(Participants!E11="","",Participants!E11)</f>
        <v> </v>
      </c>
      <c r="D28" s="377"/>
      <c r="E28" s="377"/>
      <c r="F28" s="378"/>
      <c r="G28" s="32"/>
      <c r="H28" s="99" t="str">
        <f>IF(Participants!F15="","",Participants!F15)</f>
        <v> </v>
      </c>
      <c r="I28" s="34" t="s">
        <v>27</v>
      </c>
      <c r="J28" s="380" t="str">
        <f>IF(Participants!E15="","",Participants!E15)</f>
        <v> </v>
      </c>
      <c r="K28" s="380"/>
      <c r="L28" s="380"/>
      <c r="M28" s="378"/>
      <c r="O28" s="363">
        <f>C27</f>
      </c>
      <c r="P28" s="364"/>
      <c r="Q28" s="364"/>
      <c r="R28" s="364"/>
      <c r="S28" s="365"/>
      <c r="U28" s="363">
        <f>J27</f>
      </c>
      <c r="V28" s="364"/>
      <c r="W28" s="364"/>
      <c r="X28" s="364"/>
      <c r="Y28" s="365"/>
    </row>
    <row r="29" spans="1:25" ht="16.5">
      <c r="A29" s="100"/>
      <c r="B29" s="101" t="s">
        <v>7</v>
      </c>
      <c r="C29" s="101" t="s">
        <v>8</v>
      </c>
      <c r="D29" s="101" t="s">
        <v>9</v>
      </c>
      <c r="E29" s="102" t="s">
        <v>11</v>
      </c>
      <c r="F29" s="89" t="s">
        <v>28</v>
      </c>
      <c r="G29" s="116"/>
      <c r="H29" s="105"/>
      <c r="I29" s="101" t="s">
        <v>7</v>
      </c>
      <c r="J29" s="101" t="s">
        <v>8</v>
      </c>
      <c r="K29" s="104" t="s">
        <v>9</v>
      </c>
      <c r="L29" s="102" t="s">
        <v>11</v>
      </c>
      <c r="M29" s="35" t="s">
        <v>28</v>
      </c>
      <c r="O29" s="124">
        <f>IF(F30&gt;1,E30,0)</f>
        <v>0</v>
      </c>
      <c r="P29" s="124">
        <f>IF(F31&gt;1,E31,0)</f>
        <v>0</v>
      </c>
      <c r="Q29" s="124">
        <f>IF(F32&gt;1,E32,0)</f>
        <v>0</v>
      </c>
      <c r="R29" s="124">
        <f>IF(F33&gt;1,E33,0)</f>
        <v>0</v>
      </c>
      <c r="S29" s="124">
        <f>IF(F34&gt;1,E34,0)</f>
        <v>0</v>
      </c>
      <c r="T29" s="71"/>
      <c r="U29" s="124">
        <f>IF(M30&gt;1,L30,0)</f>
        <v>0</v>
      </c>
      <c r="V29" s="124">
        <f>IF(M31&gt;1,L31,0)</f>
        <v>0</v>
      </c>
      <c r="W29" s="124">
        <f>IF(M32&gt;1,L32,0)</f>
        <v>0</v>
      </c>
      <c r="X29" s="124">
        <f>IF(M33&gt;1,L33,0)</f>
        <v>0</v>
      </c>
      <c r="Y29" s="124">
        <f>IF(M34&gt;1,L34,0)</f>
        <v>0</v>
      </c>
    </row>
    <row r="30" spans="1:13" ht="13.5">
      <c r="A30" s="164">
        <f>IF(C27='Phase de poule'!C4,'Phase de poule'!C5,IF(C27='Phase de poule'!C5,'Phase de poule'!C4," "))</f>
      </c>
      <c r="B30" s="119">
        <f>_xlfn.IFERROR(VLOOKUP(C27,poule_a_t_1,2,FALSE),"")</f>
        <v>0</v>
      </c>
      <c r="C30" s="119">
        <f>_xlfn.IFERROR(VLOOKUP(C27,poule_a_t_1,3,FALSE),"")</f>
        <v>0</v>
      </c>
      <c r="D30" s="119">
        <f>_xlfn.IFERROR(VLOOKUP(C27,poule_a_t_1,4,FALSE),"")</f>
        <v>0</v>
      </c>
      <c r="E30" s="88">
        <f>_xlfn.IFERROR(VLOOKUP(C27,poule_a_t_1,6,FALSE),"")</f>
      </c>
      <c r="F30" s="119">
        <f>_xlfn.IFERROR(VLOOKUP(C27,poule_a_t_1,5,FALSE),"")</f>
        <v>0</v>
      </c>
      <c r="G30" s="36"/>
      <c r="H30" s="122">
        <f>IF(J27='Phase de poule'!C6,'Phase de poule'!C7,IF(J27='Phase de poule'!C7,'Phase de poule'!C6," "))</f>
      </c>
      <c r="I30" s="119">
        <f>_xlfn.IFERROR(VLOOKUP(J27,poule_b_t_1,2,FALSE),"")</f>
        <v>0</v>
      </c>
      <c r="J30" s="119">
        <f>_xlfn.IFERROR(VLOOKUP(J27,poule_b_t_1,3,FALSE),"")</f>
        <v>0</v>
      </c>
      <c r="K30" s="119">
        <f>_xlfn.IFERROR(VLOOKUP(J27,poule_b_t_1,4,FALSE),"")</f>
        <v>0</v>
      </c>
      <c r="L30" s="88">
        <f>_xlfn.IFERROR(VLOOKUP(J27,poule_b_t_1,6,FALSE),"")</f>
      </c>
      <c r="M30" s="119">
        <f>_xlfn.IFERROR(VLOOKUP(J27,poule_b_t_1,5,FALSE),"")</f>
        <v>0</v>
      </c>
    </row>
    <row r="31" spans="1:13" ht="12.75" customHeight="1">
      <c r="A31" s="164">
        <f>IF(C27='Phase de poule'!C9,'Phase de poule'!C10,IF(C27='Phase de poule'!C10,'Phase de poule'!C9," "))</f>
      </c>
      <c r="B31" s="119">
        <f>_xlfn.IFERROR(VLOOKUP(C27,poule_a_t_2,2,FALSE),"")</f>
        <v>0</v>
      </c>
      <c r="C31" s="119">
        <f>_xlfn.IFERROR(VLOOKUP(C27,poule_a_t_2,3,FALSE),"")</f>
        <v>0</v>
      </c>
      <c r="D31" s="119">
        <f>_xlfn.IFERROR(VLOOKUP(C27,poule_a_t_2,4,FALSE),"")</f>
        <v>0</v>
      </c>
      <c r="E31" s="88">
        <f>_xlfn.IFERROR(VLOOKUP(C27,poule_a_t_2,6,FALSE),"")</f>
      </c>
      <c r="F31" s="119">
        <f>_xlfn.IFERROR(VLOOKUP(C27,poule_a_t_2,5,FALSE),"")</f>
        <v>0</v>
      </c>
      <c r="G31" s="36"/>
      <c r="H31" s="122">
        <f>IF(J27='Phase de poule'!C11,'Phase de poule'!C12,IF(J27='Phase de poule'!C12,'Phase de poule'!C11," "))</f>
      </c>
      <c r="I31" s="119">
        <f>_xlfn.IFERROR(VLOOKUP(J27,poule_b_t_2,2,FALSE),"")</f>
        <v>0</v>
      </c>
      <c r="J31" s="119">
        <f>_xlfn.IFERROR(VLOOKUP(J27,poule_b_t_2,3,FALSE),"")</f>
        <v>0</v>
      </c>
      <c r="K31" s="119">
        <f>_xlfn.IFERROR(VLOOKUP(J27,poule_b_t_2,4,FALSE),"")</f>
        <v>0</v>
      </c>
      <c r="L31" s="88">
        <f>_xlfn.IFERROR(VLOOKUP(J27,poule_b_t_2,6,FALSE),"")</f>
      </c>
      <c r="M31" s="119">
        <f>_xlfn.IFERROR(VLOOKUP(J27,poule_b_t_2,5,FALSE),"")</f>
        <v>0</v>
      </c>
    </row>
    <row r="32" spans="1:13" ht="13.5">
      <c r="A32" s="164">
        <f>IF(C27='Phase de poule'!C14,'Phase de poule'!C15,IF(C27='Phase de poule'!C15,'Phase de poule'!C14," "))</f>
      </c>
      <c r="B32" s="119">
        <f>_xlfn.IFERROR(VLOOKUP(C27,poule_a_t_3,2,FALSE),"")</f>
        <v>0</v>
      </c>
      <c r="C32" s="119">
        <f>_xlfn.IFERROR(VLOOKUP(C27,poule_a_t_3,3,FALSE),"")</f>
        <v>0</v>
      </c>
      <c r="D32" s="119">
        <f>_xlfn.IFERROR(VLOOKUP(C27,poule_a_t_3,4,FALSE),"")</f>
        <v>0</v>
      </c>
      <c r="E32" s="88">
        <f>_xlfn.IFERROR(VLOOKUP(C27,poule_a_t_3,6,FALSE),"")</f>
      </c>
      <c r="F32" s="119">
        <f>_xlfn.IFERROR(VLOOKUP(C27,poule_a_t_3,5,FALSE),"")</f>
        <v>0</v>
      </c>
      <c r="G32" s="36"/>
      <c r="H32" s="122">
        <f>IF(J27='Phase de poule'!C16,'Phase de poule'!C17,IF(J27='Phase de poule'!C17,'Phase de poule'!C16," "))</f>
      </c>
      <c r="I32" s="119">
        <f>_xlfn.IFERROR(VLOOKUP(J27,poule_b_t_3,2,FALSE),"")</f>
        <v>0</v>
      </c>
      <c r="J32" s="119">
        <f>_xlfn.IFERROR(VLOOKUP(J27,poule_b_t_3,3,FALSE),"")</f>
        <v>0</v>
      </c>
      <c r="K32" s="119">
        <f>_xlfn.IFERROR(VLOOKUP(J27,poule_b_t_3,4,FALSE),"")</f>
        <v>0</v>
      </c>
      <c r="L32" s="88">
        <f>_xlfn.IFERROR(VLOOKUP(J27,poule_b_t_3,6,FALSE),"")</f>
      </c>
      <c r="M32" s="119">
        <f>_xlfn.IFERROR(VLOOKUP(J27,poule_b_t_3,5,FALSE),"")</f>
        <v>0</v>
      </c>
    </row>
    <row r="33" spans="1:13" ht="13.5">
      <c r="A33" s="164">
        <f>_xlfn.IFERROR(VLOOKUP(C27,tour_num_4,2,FALSE),"")</f>
      </c>
      <c r="B33" s="120">
        <f>_xlfn.IFERROR(VLOOKUP(C27,tour_num_4,3,FALSE),"")</f>
        <v>0</v>
      </c>
      <c r="C33" s="120">
        <f>_xlfn.IFERROR(VLOOKUP(C27,tour_num_4,4,FALSE),"")</f>
        <v>0</v>
      </c>
      <c r="D33" s="120">
        <f>_xlfn.IFERROR(VLOOKUP(C27,tour_num_4,5,FALSE),"")</f>
        <v>0</v>
      </c>
      <c r="E33" s="121">
        <f>_xlfn.IFERROR(VLOOKUP(C27,tour_num_4,7,FALSE),"")</f>
      </c>
      <c r="F33" s="119">
        <f>_xlfn.IFERROR(VLOOKUP(C27,tour_num_4,6,FALSE),"")</f>
        <v>0</v>
      </c>
      <c r="G33" s="36"/>
      <c r="H33" s="122">
        <f>_xlfn.IFERROR(VLOOKUP(J27,tour_num_4,2,FALSE),"")</f>
      </c>
      <c r="I33" s="120">
        <f>_xlfn.IFERROR(VLOOKUP(J27,tour_num_4,3,FALSE),"")</f>
        <v>0</v>
      </c>
      <c r="J33" s="120">
        <f>_xlfn.IFERROR(VLOOKUP(J27,tour_num_4,4,FALSE),"")</f>
        <v>0</v>
      </c>
      <c r="K33" s="120">
        <f>_xlfn.IFERROR(VLOOKUP(J27,tour_num_4,5,FALSE),"")</f>
        <v>0</v>
      </c>
      <c r="L33" s="121">
        <f>_xlfn.IFERROR(VLOOKUP(J27,tour_num_4,7,FALSE),"")</f>
      </c>
      <c r="M33" s="119">
        <f>_xlfn.IFERROR(VLOOKUP(J27,tour_num_4,6,FALSE),"")</f>
        <v>0</v>
      </c>
    </row>
    <row r="34" spans="1:13" ht="13.5">
      <c r="A34" s="164">
        <f>_xlfn.IFERROR(VLOOKUP(C27,tour_num_5,2,FALSE),"")</f>
      </c>
      <c r="B34" s="120">
        <f>_xlfn.IFERROR(VLOOKUP(C27,tour_num_5,3,FALSE),"")</f>
        <v>0</v>
      </c>
      <c r="C34" s="120">
        <f>_xlfn.IFERROR(VLOOKUP(C27,tour_num_5,4,FALSE),"")</f>
        <v>0</v>
      </c>
      <c r="D34" s="120">
        <f>_xlfn.IFERROR(VLOOKUP(C27,tour_num_5,5,FALSE),"")</f>
        <v>0</v>
      </c>
      <c r="E34" s="121">
        <f>_xlfn.IFERROR(VLOOKUP(C27,tour_num_5,7,FALSE),"")</f>
      </c>
      <c r="F34" s="119">
        <f>_xlfn.IFERROR(VLOOKUP(C27,tour_num_5,6,FALSE),"")</f>
        <v>0</v>
      </c>
      <c r="G34" s="36"/>
      <c r="H34" s="122">
        <f>_xlfn.IFERROR(VLOOKUP(J27,tour_num_5,2,FALSE),"")</f>
      </c>
      <c r="I34" s="120">
        <f>_xlfn.IFERROR(VLOOKUP(J27,tour_num_5,3,FALSE),"")</f>
        <v>0</v>
      </c>
      <c r="J34" s="120">
        <f>_xlfn.IFERROR(VLOOKUP(J27,tour_num_5,4,FALSE),"")</f>
        <v>0</v>
      </c>
      <c r="K34" s="120">
        <f>_xlfn.IFERROR(VLOOKUP(J27,tour_num_5,5,FALSE),"")</f>
        <v>0</v>
      </c>
      <c r="L34" s="121">
        <f>_xlfn.IFERROR(VLOOKUP(J27,tour_num_5,7,FALSE),"")</f>
      </c>
      <c r="M34" s="119">
        <f>_xlfn.IFERROR(VLOOKUP(J27,tour_num_5,6,FALSE),"")</f>
        <v>0</v>
      </c>
    </row>
    <row r="35" spans="1:13" ht="3.75" customHeight="1">
      <c r="A35" s="51"/>
      <c r="B35" s="52"/>
      <c r="C35" s="52"/>
      <c r="D35" s="53"/>
      <c r="E35" s="54"/>
      <c r="F35" s="50"/>
      <c r="G35" s="55"/>
      <c r="H35" s="56"/>
      <c r="I35" s="57"/>
      <c r="J35" s="58"/>
      <c r="K35" s="58"/>
      <c r="L35" s="59"/>
      <c r="M35" s="60"/>
    </row>
    <row r="36" spans="1:13" ht="13.5">
      <c r="A36" s="38" t="s">
        <v>29</v>
      </c>
      <c r="B36" s="250">
        <f>SUM(B30:B34)</f>
        <v>0</v>
      </c>
      <c r="C36" s="250">
        <f>SUM(C30:C34)</f>
        <v>0</v>
      </c>
      <c r="D36" s="250">
        <f>MAX(D30:D34)</f>
        <v>0</v>
      </c>
      <c r="E36" s="251">
        <f>IF(C36&gt;0,B36/C36,0)</f>
        <v>0</v>
      </c>
      <c r="F36" s="250">
        <f>SUM(F30:F34)</f>
        <v>0</v>
      </c>
      <c r="G36" s="36"/>
      <c r="H36" s="38" t="s">
        <v>29</v>
      </c>
      <c r="I36" s="250">
        <f>SUM(I30:I34)</f>
        <v>0</v>
      </c>
      <c r="J36" s="250">
        <f>SUM(J30:J34)</f>
        <v>0</v>
      </c>
      <c r="K36" s="250">
        <f>MAX(K30:K34)</f>
        <v>0</v>
      </c>
      <c r="L36" s="251">
        <f>IF(J36&gt;0,I36/J36,0)</f>
        <v>0</v>
      </c>
      <c r="M36" s="250">
        <f>SUM(M30:M34)</f>
        <v>0</v>
      </c>
    </row>
    <row r="37" spans="1:13" ht="5.25" customHeight="1">
      <c r="A37" s="39"/>
      <c r="B37" s="25"/>
      <c r="C37" s="25"/>
      <c r="D37" s="20"/>
      <c r="E37" s="25"/>
      <c r="F37" s="40"/>
      <c r="G37" s="41"/>
      <c r="H37" s="39"/>
      <c r="I37" s="25"/>
      <c r="J37" s="25"/>
      <c r="K37" s="20"/>
      <c r="L37" s="25"/>
      <c r="M37" s="40"/>
    </row>
    <row r="38" spans="1:13" ht="13.5">
      <c r="A38" s="231" t="s">
        <v>193</v>
      </c>
      <c r="B38" s="254">
        <f>IF(Participants!G11="","",Participants!G11)</f>
      </c>
      <c r="C38" s="381" t="s">
        <v>31</v>
      </c>
      <c r="D38" s="382"/>
      <c r="E38" s="382"/>
      <c r="F38" s="44">
        <f>MAX(O29:S29)</f>
        <v>0</v>
      </c>
      <c r="G38" s="45"/>
      <c r="H38" s="231" t="s">
        <v>193</v>
      </c>
      <c r="I38" s="254">
        <f>IF(Participants!G15="","",Participants!G15)</f>
      </c>
      <c r="J38" s="381" t="s">
        <v>31</v>
      </c>
      <c r="K38" s="382"/>
      <c r="L38" s="382"/>
      <c r="M38" s="44">
        <f>MAX(U29:Y29)</f>
        <v>0</v>
      </c>
    </row>
    <row r="39" spans="1:13" ht="13.5">
      <c r="A39" s="42" t="s">
        <v>267</v>
      </c>
      <c r="B39" s="254">
        <f>F36</f>
        <v>0</v>
      </c>
      <c r="C39" s="249" t="s">
        <v>268</v>
      </c>
      <c r="D39" s="253">
        <f>IF($R$6=0,_xlfn.IFERROR(VLOOKUP(C27,classement_final,4,FALSE),""),0)</f>
        <v>0</v>
      </c>
      <c r="E39" s="22"/>
      <c r="F39" s="112"/>
      <c r="G39" s="112"/>
      <c r="H39" s="42" t="s">
        <v>267</v>
      </c>
      <c r="I39" s="254">
        <f>M36</f>
        <v>0</v>
      </c>
      <c r="J39" s="249" t="s">
        <v>268</v>
      </c>
      <c r="K39" s="253">
        <f>IF($R$6=0,_xlfn.IFERROR(VLOOKUP(J27,classement_final,4,FALSE),""),0)</f>
        <v>0</v>
      </c>
      <c r="L39" s="22"/>
      <c r="M39" s="112"/>
    </row>
    <row r="40" spans="1:13" ht="13.5">
      <c r="A40" s="42" t="s">
        <v>30</v>
      </c>
      <c r="B40" s="254">
        <f>IF($R$6=0,_xlfn.IFERROR(VLOOKUP(C27,classement_final,5,FALSE),""),0)</f>
        <v>0</v>
      </c>
      <c r="C40" s="46" t="s">
        <v>32</v>
      </c>
      <c r="D40" s="43"/>
      <c r="E40" s="21"/>
      <c r="F40" s="47"/>
      <c r="G40" s="47"/>
      <c r="H40" s="42" t="s">
        <v>30</v>
      </c>
      <c r="I40" s="254">
        <f>IF($R$6=0,_xlfn.IFERROR(VLOOKUP(J27,classement_final,5,FALSE),""),0)</f>
        <v>0</v>
      </c>
      <c r="J40" s="46" t="s">
        <v>32</v>
      </c>
      <c r="K40" s="43"/>
      <c r="L40" s="21"/>
      <c r="M40" s="47"/>
    </row>
    <row r="41" spans="1:13" ht="12.75">
      <c r="A41" s="232" t="s">
        <v>192</v>
      </c>
      <c r="B41" s="252">
        <f>SUM(B38,B40,F36)</f>
        <v>0</v>
      </c>
      <c r="C41" s="48"/>
      <c r="D41" s="113"/>
      <c r="E41" s="113"/>
      <c r="F41" s="114"/>
      <c r="G41" s="112"/>
      <c r="H41" s="232" t="s">
        <v>192</v>
      </c>
      <c r="I41" s="252">
        <f>SUM(I38,I40,M36)</f>
        <v>0</v>
      </c>
      <c r="J41" s="48"/>
      <c r="K41" s="113"/>
      <c r="L41" s="113"/>
      <c r="M41" s="114"/>
    </row>
    <row r="42" spans="1:13" ht="12.75" customHeight="1">
      <c r="A42" s="26"/>
      <c r="B42" s="28"/>
      <c r="C42" s="28"/>
      <c r="D42" s="28"/>
      <c r="E42" s="28"/>
      <c r="F42" s="28"/>
      <c r="G42" s="18"/>
      <c r="H42" s="29"/>
      <c r="I42" s="26"/>
      <c r="J42" s="28"/>
      <c r="K42" s="28"/>
      <c r="L42" s="28"/>
      <c r="M42" s="28"/>
    </row>
    <row r="43" spans="1:13" ht="12.75">
      <c r="A43" s="30" t="s">
        <v>41</v>
      </c>
      <c r="B43" s="31"/>
      <c r="C43" s="366">
        <f>IF(Participants!D12="","",Participants!D12)</f>
      </c>
      <c r="D43" s="366"/>
      <c r="E43" s="366"/>
      <c r="F43" s="367"/>
      <c r="G43" s="61"/>
      <c r="H43" s="30" t="s">
        <v>43</v>
      </c>
      <c r="I43" s="98"/>
      <c r="J43" s="366">
        <f>IF(Participants!D16="","",Participants!D16)</f>
      </c>
      <c r="K43" s="366"/>
      <c r="L43" s="366"/>
      <c r="M43" s="367"/>
    </row>
    <row r="44" spans="1:25" ht="12.75">
      <c r="A44" s="33" t="str">
        <f>IF(Participants!F12="","",Participants!F12)</f>
        <v> </v>
      </c>
      <c r="B44" s="34" t="s">
        <v>27</v>
      </c>
      <c r="C44" s="377" t="str">
        <f>IF(Participants!E12="","",Participants!E12)</f>
        <v> </v>
      </c>
      <c r="D44" s="377"/>
      <c r="E44" s="377"/>
      <c r="F44" s="378"/>
      <c r="G44" s="61"/>
      <c r="H44" s="117" t="str">
        <f>IF(Participants!F16="","",Participants!F16)</f>
        <v> </v>
      </c>
      <c r="I44" s="34" t="s">
        <v>27</v>
      </c>
      <c r="J44" s="380" t="str">
        <f>IF(Participants!E16="","",Participants!E16)</f>
        <v> </v>
      </c>
      <c r="K44" s="380"/>
      <c r="L44" s="380"/>
      <c r="M44" s="378"/>
      <c r="O44" s="363">
        <f>C43</f>
      </c>
      <c r="P44" s="364"/>
      <c r="Q44" s="364"/>
      <c r="R44" s="364"/>
      <c r="S44" s="365"/>
      <c r="U44" s="363">
        <f>J43</f>
      </c>
      <c r="V44" s="364"/>
      <c r="W44" s="364"/>
      <c r="X44" s="364"/>
      <c r="Y44" s="365"/>
    </row>
    <row r="45" spans="1:25" ht="16.5">
      <c r="A45" s="105"/>
      <c r="B45" s="101" t="s">
        <v>7</v>
      </c>
      <c r="C45" s="101" t="s">
        <v>8</v>
      </c>
      <c r="D45" s="101" t="s">
        <v>9</v>
      </c>
      <c r="E45" s="102" t="s">
        <v>11</v>
      </c>
      <c r="F45" s="89" t="s">
        <v>28</v>
      </c>
      <c r="G45" s="105"/>
      <c r="H45" s="105"/>
      <c r="I45" s="101" t="s">
        <v>7</v>
      </c>
      <c r="J45" s="101" t="s">
        <v>8</v>
      </c>
      <c r="K45" s="104" t="s">
        <v>9</v>
      </c>
      <c r="L45" s="102" t="s">
        <v>11</v>
      </c>
      <c r="M45" s="35" t="s">
        <v>28</v>
      </c>
      <c r="O45" s="124">
        <f>IF(F46&gt;1,E46,0)</f>
        <v>0</v>
      </c>
      <c r="P45" s="124">
        <f>IF(F47&gt;1,E47,0)</f>
        <v>0</v>
      </c>
      <c r="Q45" s="124">
        <f>IF(F48&gt;1,E48,0)</f>
        <v>0</v>
      </c>
      <c r="R45" s="124">
        <f>IF(F49&gt;1,E49,0)</f>
        <v>0</v>
      </c>
      <c r="S45" s="124">
        <f>IF(F50&gt;1,E50,0)</f>
        <v>0</v>
      </c>
      <c r="T45" s="71"/>
      <c r="U45" s="124">
        <f>IF(M46&gt;1,L46,0)</f>
        <v>0</v>
      </c>
      <c r="V45" s="124">
        <f>IF(M47&gt;1,L47,0)</f>
        <v>0</v>
      </c>
      <c r="W45" s="124">
        <f>IF(M48&gt;1,L48,0)</f>
        <v>0</v>
      </c>
      <c r="X45" s="124">
        <f>IF(M49&gt;1,L49,0)</f>
        <v>0</v>
      </c>
      <c r="Y45" s="124">
        <f>IF(M50&gt;1,L50,0)</f>
        <v>0</v>
      </c>
    </row>
    <row r="46" spans="1:13" ht="13.5">
      <c r="A46" s="164">
        <f>IF(C43='Phase de poule'!C4,'Phase de poule'!C5,IF(C43='Phase de poule'!C5,'Phase de poule'!C4," "))</f>
      </c>
      <c r="B46" s="119">
        <f>_xlfn.IFERROR(VLOOKUP(C43,poule_a_t_1,2,FALSE),"")</f>
        <v>0</v>
      </c>
      <c r="C46" s="119">
        <f>_xlfn.IFERROR(VLOOKUP(C43,poule_a_t_1,3,FALSE),"")</f>
        <v>0</v>
      </c>
      <c r="D46" s="119">
        <f>_xlfn.IFERROR(VLOOKUP(C43,poule_a_t_1,4,FALSE),"")</f>
        <v>0</v>
      </c>
      <c r="E46" s="88">
        <f>_xlfn.IFERROR(VLOOKUP(C43,poule_a_t_1,6,FALSE),"")</f>
      </c>
      <c r="F46" s="119">
        <f>_xlfn.IFERROR(VLOOKUP(C43,poule_a_t_1,5,FALSE),"")</f>
        <v>0</v>
      </c>
      <c r="G46" s="62"/>
      <c r="H46" s="164">
        <f>IF(J43='Phase de poule'!C6,'Phase de poule'!C7,IF(J43='Phase de poule'!C7,'Phase de poule'!C6," "))</f>
      </c>
      <c r="I46" s="119">
        <f>_xlfn.IFERROR(VLOOKUP(J43,poule_b_t_1,2,FALSE),"")</f>
        <v>0</v>
      </c>
      <c r="J46" s="119">
        <f>_xlfn.IFERROR(VLOOKUP(J43,poule_b_t_1,3,FALSE),"")</f>
        <v>0</v>
      </c>
      <c r="K46" s="119">
        <f>_xlfn.IFERROR(VLOOKUP(J43,poule_b_t_1,4,FALSE),"")</f>
        <v>0</v>
      </c>
      <c r="L46" s="88">
        <f>_xlfn.IFERROR(VLOOKUP(J43,poule_b_t_1,6,FALSE),"")</f>
      </c>
      <c r="M46" s="119">
        <f>_xlfn.IFERROR(VLOOKUP(J43,poule_b_t_1,5,FALSE),"")</f>
        <v>0</v>
      </c>
    </row>
    <row r="47" spans="1:13" ht="13.5">
      <c r="A47" s="164">
        <f>IF(C43='Phase de poule'!C9,'Phase de poule'!C10,IF(C43='Phase de poule'!C10,'Phase de poule'!C9," "))</f>
      </c>
      <c r="B47" s="119">
        <f>_xlfn.IFERROR(VLOOKUP(C43,poule_a_t_2,2,FALSE),"")</f>
        <v>0</v>
      </c>
      <c r="C47" s="119">
        <f>_xlfn.IFERROR(VLOOKUP(C43,poule_a_t_2,3,FALSE),"")</f>
        <v>0</v>
      </c>
      <c r="D47" s="119">
        <f>_xlfn.IFERROR(VLOOKUP(C43,poule_a_t_2,4,FALSE),"")</f>
        <v>0</v>
      </c>
      <c r="E47" s="88">
        <f>_xlfn.IFERROR(VLOOKUP(C43,poule_a_t_2,6,FALSE),"")</f>
      </c>
      <c r="F47" s="119">
        <f>_xlfn.IFERROR(VLOOKUP(C43,poule_a_t_2,5,FALSE),"")</f>
        <v>0</v>
      </c>
      <c r="G47" s="62"/>
      <c r="H47" s="164">
        <f>IF(J43='Phase de poule'!C11,'Phase de poule'!C12,IF(J43='Phase de poule'!C12,'Phase de poule'!C11," "))</f>
      </c>
      <c r="I47" s="119">
        <f>_xlfn.IFERROR(VLOOKUP(J43,poule_b_t_2,2,FALSE),"")</f>
        <v>0</v>
      </c>
      <c r="J47" s="119">
        <f>_xlfn.IFERROR(VLOOKUP(J43,poule_b_t_2,3,FALSE),"")</f>
        <v>0</v>
      </c>
      <c r="K47" s="119">
        <f>_xlfn.IFERROR(VLOOKUP(J43,poule_b_t_2,4,FALSE),"")</f>
        <v>0</v>
      </c>
      <c r="L47" s="88">
        <f>_xlfn.IFERROR(VLOOKUP(J43,poule_b_t_2,6,FALSE),"")</f>
      </c>
      <c r="M47" s="119">
        <f>_xlfn.IFERROR(VLOOKUP(J43,poule_b_t_2,5,FALSE),"")</f>
        <v>0</v>
      </c>
    </row>
    <row r="48" spans="1:13" ht="13.5">
      <c r="A48" s="164">
        <f>IF(C43='Phase de poule'!C14,'Phase de poule'!C15,IF(C43='Phase de poule'!C15,'Phase de poule'!C14," "))</f>
      </c>
      <c r="B48" s="119">
        <f>_xlfn.IFERROR(VLOOKUP(C43,poule_a_t_3,2,FALSE),"")</f>
        <v>0</v>
      </c>
      <c r="C48" s="119">
        <f>_xlfn.IFERROR(VLOOKUP(C43,poule_a_t_3,3,FALSE),"")</f>
        <v>0</v>
      </c>
      <c r="D48" s="119">
        <f>_xlfn.IFERROR(VLOOKUP(C43,poule_a_t_3,4,FALSE),"")</f>
        <v>0</v>
      </c>
      <c r="E48" s="88">
        <f>_xlfn.IFERROR(VLOOKUP(C43,poule_a_t_3,6,FALSE),"")</f>
      </c>
      <c r="F48" s="119">
        <f>_xlfn.IFERROR(VLOOKUP(C43,poule_a_t_3,5,FALSE),"")</f>
        <v>0</v>
      </c>
      <c r="G48" s="62"/>
      <c r="H48" s="164">
        <f>IF(J43='Phase de poule'!C16,'Phase de poule'!C17,IF(J43='Phase de poule'!C17,'Phase de poule'!C16," "))</f>
      </c>
      <c r="I48" s="119">
        <f>_xlfn.IFERROR(VLOOKUP(J43,poule_b_t_3,2,FALSE),"")</f>
        <v>0</v>
      </c>
      <c r="J48" s="119">
        <f>_xlfn.IFERROR(VLOOKUP(J43,poule_b_t_3,3,FALSE),"")</f>
        <v>0</v>
      </c>
      <c r="K48" s="119">
        <f>_xlfn.IFERROR(VLOOKUP(J43,poule_b_t_3,4,FALSE),"")</f>
        <v>0</v>
      </c>
      <c r="L48" s="88">
        <f>_xlfn.IFERROR(VLOOKUP(J43,poule_b_t_3,6,FALSE),"")</f>
      </c>
      <c r="M48" s="119">
        <f>_xlfn.IFERROR(VLOOKUP(J43,poule_b_t_3,5,FALSE),"")</f>
        <v>0</v>
      </c>
    </row>
    <row r="49" spans="1:13" ht="13.5">
      <c r="A49" s="164">
        <f>_xlfn.IFERROR(VLOOKUP(C43,tour_num_4,2,FALSE),"")</f>
      </c>
      <c r="B49" s="120">
        <f>_xlfn.IFERROR(VLOOKUP(C43,tour_num_4,3,FALSE),"")</f>
        <v>0</v>
      </c>
      <c r="C49" s="120">
        <f>_xlfn.IFERROR(VLOOKUP(C43,tour_num_4,4,FALSE),"")</f>
        <v>0</v>
      </c>
      <c r="D49" s="120">
        <f>_xlfn.IFERROR(VLOOKUP(C43,tour_num_4,5,FALSE),"")</f>
        <v>0</v>
      </c>
      <c r="E49" s="121">
        <f>_xlfn.IFERROR(VLOOKUP(C43,tour_num_4,7,FALSE),"")</f>
      </c>
      <c r="F49" s="119">
        <f>_xlfn.IFERROR(VLOOKUP(C43,tour_num_4,6,FALSE),"")</f>
        <v>0</v>
      </c>
      <c r="G49" s="62"/>
      <c r="H49" s="164">
        <f>_xlfn.IFERROR(VLOOKUP(J43,tour_num_4,2,FALSE),"")</f>
      </c>
      <c r="I49" s="120">
        <f>_xlfn.IFERROR(VLOOKUP(J43,tour_num_4,3,FALSE),"")</f>
        <v>0</v>
      </c>
      <c r="J49" s="120">
        <f>_xlfn.IFERROR(VLOOKUP(J43,tour_num_4,4,FALSE),"")</f>
        <v>0</v>
      </c>
      <c r="K49" s="120">
        <f>_xlfn.IFERROR(VLOOKUP(J43,tour_num_4,5,FALSE),"")</f>
        <v>0</v>
      </c>
      <c r="L49" s="121">
        <f>_xlfn.IFERROR(VLOOKUP(J43,tour_num_4,7,FALSE),"")</f>
      </c>
      <c r="M49" s="119">
        <f>_xlfn.IFERROR(VLOOKUP(J43,tour_num_4,6,FALSE),"")</f>
        <v>0</v>
      </c>
    </row>
    <row r="50" spans="1:13" ht="13.5">
      <c r="A50" s="164">
        <f>_xlfn.IFERROR(VLOOKUP(C43,tour_num_5,2,FALSE),"")</f>
      </c>
      <c r="B50" s="120">
        <f>_xlfn.IFERROR(VLOOKUP(C43,tour_num_5,3,FALSE),"")</f>
        <v>0</v>
      </c>
      <c r="C50" s="120">
        <f>_xlfn.IFERROR(VLOOKUP(C43,tour_num_5,4,FALSE),"")</f>
        <v>0</v>
      </c>
      <c r="D50" s="120">
        <f>_xlfn.IFERROR(VLOOKUP(C43,tour_num_5,5,FALSE),"")</f>
        <v>0</v>
      </c>
      <c r="E50" s="121">
        <f>_xlfn.IFERROR(VLOOKUP(C43,tour_num_5,7,FALSE),"")</f>
      </c>
      <c r="F50" s="119">
        <f>_xlfn.IFERROR(VLOOKUP(C43,tour_num_5,6,FALSE),"")</f>
        <v>0</v>
      </c>
      <c r="G50" s="62"/>
      <c r="H50" s="164">
        <f>_xlfn.IFERROR(VLOOKUP(J43,tour_num_5,2,FALSE),"")</f>
      </c>
      <c r="I50" s="120">
        <f>_xlfn.IFERROR(VLOOKUP(J43,tour_num_5,3,FALSE),"")</f>
        <v>0</v>
      </c>
      <c r="J50" s="120">
        <f>_xlfn.IFERROR(VLOOKUP(J43,tour_num_5,4,FALSE),"")</f>
        <v>0</v>
      </c>
      <c r="K50" s="120">
        <f>_xlfn.IFERROR(VLOOKUP(J43,tour_num_5,5,FALSE),"")</f>
        <v>0</v>
      </c>
      <c r="L50" s="121">
        <f>_xlfn.IFERROR(VLOOKUP(J43,tour_num_5,7,FALSE),"")</f>
      </c>
      <c r="M50" s="119">
        <f>_xlfn.IFERROR(VLOOKUP(J43,tour_num_5,6,FALSE),"")</f>
        <v>0</v>
      </c>
    </row>
    <row r="51" spans="1:13" ht="3.75" customHeight="1">
      <c r="A51" s="51"/>
      <c r="B51" s="52"/>
      <c r="C51" s="52"/>
      <c r="D51" s="53"/>
      <c r="E51" s="54"/>
      <c r="F51" s="50"/>
      <c r="G51" s="62"/>
      <c r="H51" s="105"/>
      <c r="I51" s="57"/>
      <c r="J51" s="58"/>
      <c r="K51" s="58"/>
      <c r="L51" s="59"/>
      <c r="M51" s="60"/>
    </row>
    <row r="52" spans="1:13" ht="13.5">
      <c r="A52" s="38" t="s">
        <v>29</v>
      </c>
      <c r="B52" s="250">
        <f>SUM(B46:B50)</f>
        <v>0</v>
      </c>
      <c r="C52" s="250">
        <f>SUM(C46:C50)</f>
        <v>0</v>
      </c>
      <c r="D52" s="250">
        <f>MAX(D46:D50)</f>
        <v>0</v>
      </c>
      <c r="E52" s="251">
        <f>IF(C52&gt;0,B52/C52,0)</f>
        <v>0</v>
      </c>
      <c r="F52" s="250">
        <f>SUM(F46:F50)</f>
        <v>0</v>
      </c>
      <c r="G52" s="62"/>
      <c r="H52" s="38" t="s">
        <v>29</v>
      </c>
      <c r="I52" s="250">
        <f>SUM(I46:I50)</f>
        <v>0</v>
      </c>
      <c r="J52" s="250">
        <f>SUM(J46:J50)</f>
        <v>0</v>
      </c>
      <c r="K52" s="250">
        <f>MAX(K46:K50)</f>
        <v>0</v>
      </c>
      <c r="L52" s="251">
        <f>IF(J52&gt;0,I52/J52,0)</f>
        <v>0</v>
      </c>
      <c r="M52" s="250">
        <f>SUM(M46:M50)</f>
        <v>0</v>
      </c>
    </row>
    <row r="53" spans="1:13" ht="5.25" customHeight="1">
      <c r="A53" s="39"/>
      <c r="B53" s="25"/>
      <c r="C53" s="25"/>
      <c r="D53" s="20"/>
      <c r="E53" s="25"/>
      <c r="F53" s="40"/>
      <c r="G53" s="39"/>
      <c r="H53" s="39"/>
      <c r="I53" s="25"/>
      <c r="J53" s="25"/>
      <c r="K53" s="20"/>
      <c r="L53" s="25"/>
      <c r="M53" s="40"/>
    </row>
    <row r="54" spans="1:20" ht="13.5">
      <c r="A54" s="231" t="s">
        <v>193</v>
      </c>
      <c r="B54" s="254">
        <f>IF(Participants!G12="","",Participants!G12)</f>
      </c>
      <c r="C54" s="381" t="s">
        <v>31</v>
      </c>
      <c r="D54" s="382"/>
      <c r="E54" s="382"/>
      <c r="F54" s="44">
        <f>MAX(O45:S45)</f>
        <v>0</v>
      </c>
      <c r="G54" s="63"/>
      <c r="H54" s="231" t="s">
        <v>193</v>
      </c>
      <c r="I54" s="254">
        <f>IF(Participants!G16="","",Participants!G16)</f>
      </c>
      <c r="J54" s="381" t="s">
        <v>31</v>
      </c>
      <c r="K54" s="382"/>
      <c r="L54" s="382"/>
      <c r="M54" s="44">
        <f>MAX(U45:Y45)</f>
        <v>0</v>
      </c>
      <c r="P54" s="394" t="s">
        <v>120</v>
      </c>
      <c r="Q54" s="394"/>
      <c r="R54" s="394"/>
      <c r="S54" s="192" t="s">
        <v>152</v>
      </c>
      <c r="T54" s="192" t="s">
        <v>7</v>
      </c>
    </row>
    <row r="55" spans="1:20" ht="13.5">
      <c r="A55" s="42" t="s">
        <v>267</v>
      </c>
      <c r="B55" s="254">
        <f>F52</f>
        <v>0</v>
      </c>
      <c r="C55" s="249" t="s">
        <v>268</v>
      </c>
      <c r="D55" s="253">
        <f>IF($R$6=0,_xlfn.IFERROR(VLOOKUP(C43,classement_final,4,FALSE),""),0)</f>
        <v>0</v>
      </c>
      <c r="E55" s="22"/>
      <c r="F55" s="112"/>
      <c r="G55" s="105"/>
      <c r="H55" s="42" t="s">
        <v>267</v>
      </c>
      <c r="I55" s="254">
        <f>M52</f>
        <v>0</v>
      </c>
      <c r="J55" s="249" t="s">
        <v>268</v>
      </c>
      <c r="K55" s="253">
        <f>IF($R$6=0,_xlfn.IFERROR(VLOOKUP(J43,classement_final,4,FALSE),""),0)</f>
        <v>0</v>
      </c>
      <c r="L55" s="22"/>
      <c r="M55" s="112"/>
      <c r="P55" s="383">
        <f>IF('Phase finale'!H9&gt;'Phase finale'!H10,'Phase finale'!C9,'Phase finale'!D9)</f>
      </c>
      <c r="Q55" s="383"/>
      <c r="R55" s="383"/>
      <c r="S55" s="193">
        <v>1</v>
      </c>
      <c r="T55" s="193">
        <v>22</v>
      </c>
    </row>
    <row r="56" spans="1:20" ht="13.5">
      <c r="A56" s="42" t="s">
        <v>30</v>
      </c>
      <c r="B56" s="254">
        <f>IF($R$6=0,_xlfn.IFERROR(VLOOKUP(C43,classement_final,5,FALSE),""),0)</f>
        <v>0</v>
      </c>
      <c r="C56" s="46" t="s">
        <v>32</v>
      </c>
      <c r="D56" s="43"/>
      <c r="E56" s="21"/>
      <c r="F56" s="47"/>
      <c r="G56" s="64"/>
      <c r="H56" s="42" t="s">
        <v>30</v>
      </c>
      <c r="I56" s="254">
        <f>IF($R$6=0,_xlfn.IFERROR(VLOOKUP(J43,classement_final,5,FALSE),""),0)</f>
        <v>0</v>
      </c>
      <c r="J56" s="46" t="s">
        <v>32</v>
      </c>
      <c r="K56" s="43"/>
      <c r="L56" s="21"/>
      <c r="M56" s="47"/>
      <c r="P56" s="384">
        <f>IF('Phase finale'!H10&gt;'Phase finale'!H9,'Phase finale'!C9,'Phase finale'!D9)</f>
      </c>
      <c r="Q56" s="384"/>
      <c r="R56" s="384"/>
      <c r="S56" s="194">
        <v>2</v>
      </c>
      <c r="T56" s="194">
        <v>19</v>
      </c>
    </row>
    <row r="57" spans="1:20" ht="12.75">
      <c r="A57" s="232" t="s">
        <v>192</v>
      </c>
      <c r="B57" s="252">
        <f>SUM(B54,B56,F52)</f>
        <v>0</v>
      </c>
      <c r="C57" s="48"/>
      <c r="D57" s="113"/>
      <c r="E57" s="113"/>
      <c r="F57" s="114"/>
      <c r="G57" s="105"/>
      <c r="H57" s="232" t="s">
        <v>192</v>
      </c>
      <c r="I57" s="252">
        <f>SUM(I54,I56,M52)</f>
        <v>0</v>
      </c>
      <c r="J57" s="48"/>
      <c r="K57" s="113"/>
      <c r="L57" s="113"/>
      <c r="M57" s="114"/>
      <c r="P57" s="384">
        <f>IF('Phase finale'!H11&gt;'Phase finale'!H12,'Phase finale'!C11,'Phase finale'!D11)</f>
      </c>
      <c r="Q57" s="384"/>
      <c r="R57" s="384"/>
      <c r="S57" s="194">
        <v>3</v>
      </c>
      <c r="T57" s="194">
        <v>16</v>
      </c>
    </row>
    <row r="58" spans="1:20" ht="12.75">
      <c r="A58" s="28"/>
      <c r="B58" s="28"/>
      <c r="C58" s="28"/>
      <c r="D58" s="28"/>
      <c r="E58" s="28"/>
      <c r="F58" s="28"/>
      <c r="G58" s="28"/>
      <c r="H58" s="29"/>
      <c r="I58" s="28"/>
      <c r="J58" s="28"/>
      <c r="K58" s="28"/>
      <c r="L58" s="28"/>
      <c r="M58" s="28"/>
      <c r="P58" s="384">
        <f>IF('Phase finale'!H12&gt;'Phase finale'!H11,'Phase finale'!D12,'Phase finale'!C12)</f>
      </c>
      <c r="Q58" s="384"/>
      <c r="R58" s="384"/>
      <c r="S58" s="194">
        <v>4</v>
      </c>
      <c r="T58" s="194">
        <v>14</v>
      </c>
    </row>
    <row r="59" spans="1:20" ht="13.5" customHeight="1">
      <c r="A59" s="392" t="s">
        <v>23</v>
      </c>
      <c r="B59" s="393"/>
      <c r="C59" s="393"/>
      <c r="D59" s="393"/>
      <c r="E59" s="393"/>
      <c r="F59" s="3"/>
      <c r="G59" s="3"/>
      <c r="H59" s="65" t="s">
        <v>0</v>
      </c>
      <c r="I59" s="385">
        <f>IF(Participants!B5="","",Participants!B5)</f>
      </c>
      <c r="J59" s="386"/>
      <c r="K59" s="386"/>
      <c r="L59" s="386"/>
      <c r="M59" s="387"/>
      <c r="P59" s="384">
        <f>IF('Phase finale'!H13&gt;'Phase finale'!H14,'Phase finale'!C13,'Phase finale'!D13)</f>
      </c>
      <c r="Q59" s="384"/>
      <c r="R59" s="384"/>
      <c r="S59" s="194">
        <v>5</v>
      </c>
      <c r="T59" s="194">
        <v>12</v>
      </c>
    </row>
    <row r="60" spans="1:20" ht="12.75">
      <c r="A60" s="388" t="s">
        <v>154</v>
      </c>
      <c r="B60" s="389"/>
      <c r="C60" s="389"/>
      <c r="D60" s="390"/>
      <c r="E60" s="196">
        <f>SUM(B20,I20,B36,I36,B52,I52)</f>
        <v>0</v>
      </c>
      <c r="F60" s="3"/>
      <c r="G60" s="3"/>
      <c r="H60" s="3"/>
      <c r="I60" s="3"/>
      <c r="J60" s="3"/>
      <c r="K60" s="3"/>
      <c r="L60" s="3"/>
      <c r="M60" s="3"/>
      <c r="P60" s="391">
        <f>IF('Phase finale'!H14&gt;'Phase finale'!H13,'Phase finale'!D14,'Phase finale'!C14)</f>
      </c>
      <c r="Q60" s="391"/>
      <c r="R60" s="391"/>
      <c r="S60" s="195">
        <v>6</v>
      </c>
      <c r="T60" s="195">
        <v>11</v>
      </c>
    </row>
    <row r="61" spans="1:13" ht="12.75">
      <c r="A61" s="388" t="s">
        <v>24</v>
      </c>
      <c r="B61" s="389"/>
      <c r="C61" s="389"/>
      <c r="D61" s="390"/>
      <c r="E61" s="196">
        <f>SUM(C20,J20,C36,J36,C52,J52)</f>
        <v>0</v>
      </c>
      <c r="F61" s="3"/>
      <c r="G61" s="3"/>
      <c r="H61" s="66" t="s">
        <v>26</v>
      </c>
      <c r="I61" s="3"/>
      <c r="J61" s="3"/>
      <c r="K61" s="3"/>
      <c r="L61" s="3"/>
      <c r="M61" s="3"/>
    </row>
    <row r="62" spans="1:29" ht="13.5" customHeight="1">
      <c r="A62" s="388" t="s">
        <v>155</v>
      </c>
      <c r="B62" s="389"/>
      <c r="C62" s="389"/>
      <c r="D62" s="390"/>
      <c r="E62" s="196">
        <f>MAX(D20,K20,D36,K36,D52,K52)</f>
        <v>0</v>
      </c>
      <c r="F62" s="3"/>
      <c r="G62" s="3"/>
      <c r="H62" s="3"/>
      <c r="I62" s="3"/>
      <c r="J62" s="3"/>
      <c r="K62" s="3"/>
      <c r="L62" s="3"/>
      <c r="M62" s="3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89"/>
    </row>
    <row r="63" spans="1:29" ht="13.5" customHeight="1">
      <c r="A63" s="388" t="s">
        <v>36</v>
      </c>
      <c r="B63" s="389"/>
      <c r="C63" s="389"/>
      <c r="D63" s="390"/>
      <c r="E63" s="197">
        <f>MAX(F22,M22,F38,M38,F54,M54)</f>
        <v>0</v>
      </c>
      <c r="F63" s="3"/>
      <c r="G63" s="3"/>
      <c r="H63" s="3"/>
      <c r="I63" s="3"/>
      <c r="J63" s="3"/>
      <c r="K63" s="3"/>
      <c r="L63" s="3"/>
      <c r="M63" s="3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89"/>
    </row>
    <row r="64" spans="1:29" ht="12.75" customHeight="1">
      <c r="A64" s="388" t="s">
        <v>25</v>
      </c>
      <c r="B64" s="389"/>
      <c r="C64" s="389"/>
      <c r="D64" s="390"/>
      <c r="E64" s="197">
        <f>IF(E61&gt;0,E60/E61,0)</f>
        <v>0</v>
      </c>
      <c r="F64" s="3"/>
      <c r="G64" s="3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89"/>
    </row>
    <row r="65" spans="1:29" ht="12.75">
      <c r="A65" s="3"/>
      <c r="B65" s="3"/>
      <c r="C65" s="3"/>
      <c r="D65" s="3"/>
      <c r="E65" s="71"/>
      <c r="F65" s="3"/>
      <c r="G65" s="3"/>
      <c r="N65" s="116"/>
      <c r="O65" s="191"/>
      <c r="P65" s="191"/>
      <c r="Q65" s="191"/>
      <c r="R65" s="191"/>
      <c r="S65" s="191"/>
      <c r="T65" s="116"/>
      <c r="U65" s="116"/>
      <c r="V65" s="116"/>
      <c r="W65" s="116"/>
      <c r="X65" s="116"/>
      <c r="Y65" s="116"/>
      <c r="Z65" s="116"/>
      <c r="AA65" s="116"/>
      <c r="AB65" s="116"/>
      <c r="AC65" s="189"/>
    </row>
    <row r="66" spans="6:29" ht="16.5" customHeight="1">
      <c r="F66" s="3"/>
      <c r="G66" s="3"/>
      <c r="N66" s="116"/>
      <c r="O66" s="190"/>
      <c r="P66" s="190"/>
      <c r="Q66" s="190"/>
      <c r="R66" s="190"/>
      <c r="S66" s="190"/>
      <c r="T66" s="116"/>
      <c r="U66" s="116"/>
      <c r="V66" s="116"/>
      <c r="W66" s="116"/>
      <c r="X66" s="116"/>
      <c r="Y66" s="116"/>
      <c r="Z66" s="116"/>
      <c r="AA66" s="116"/>
      <c r="AB66" s="116"/>
      <c r="AC66" s="189"/>
    </row>
    <row r="67" spans="1:29" ht="12.75" customHeight="1">
      <c r="A67" s="3"/>
      <c r="B67" s="3"/>
      <c r="C67" s="3"/>
      <c r="D67" s="3"/>
      <c r="E67" s="3"/>
      <c r="F67" s="3"/>
      <c r="G67" s="3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89"/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</sheetData>
  <sheetProtection password="CA59" sheet="1" selectLockedCells="1" selectUnlockedCells="1"/>
  <mergeCells count="48">
    <mergeCell ref="C54:E54"/>
    <mergeCell ref="J54:L54"/>
    <mergeCell ref="A64:D64"/>
    <mergeCell ref="P60:R60"/>
    <mergeCell ref="A59:E59"/>
    <mergeCell ref="A60:D60"/>
    <mergeCell ref="A61:D61"/>
    <mergeCell ref="A62:D62"/>
    <mergeCell ref="A63:D63"/>
    <mergeCell ref="P54:R54"/>
    <mergeCell ref="P55:R55"/>
    <mergeCell ref="P56:R56"/>
    <mergeCell ref="I59:M59"/>
    <mergeCell ref="P57:R57"/>
    <mergeCell ref="P58:R58"/>
    <mergeCell ref="P59:R59"/>
    <mergeCell ref="O28:S28"/>
    <mergeCell ref="O44:S44"/>
    <mergeCell ref="U28:Y28"/>
    <mergeCell ref="U44:Y44"/>
    <mergeCell ref="C44:F44"/>
    <mergeCell ref="J44:M44"/>
    <mergeCell ref="C38:E38"/>
    <mergeCell ref="J38:L38"/>
    <mergeCell ref="I5:M5"/>
    <mergeCell ref="J12:M12"/>
    <mergeCell ref="J28:M28"/>
    <mergeCell ref="C27:F27"/>
    <mergeCell ref="J27:M27"/>
    <mergeCell ref="C28:F28"/>
    <mergeCell ref="C22:E22"/>
    <mergeCell ref="J22:L22"/>
    <mergeCell ref="A1:M1"/>
    <mergeCell ref="A2:M2"/>
    <mergeCell ref="C43:F43"/>
    <mergeCell ref="J43:M43"/>
    <mergeCell ref="I6:M6"/>
    <mergeCell ref="C12:F12"/>
    <mergeCell ref="B6:F6"/>
    <mergeCell ref="B7:F7"/>
    <mergeCell ref="B4:F4"/>
    <mergeCell ref="I4:K4"/>
    <mergeCell ref="U12:Y12"/>
    <mergeCell ref="O12:S12"/>
    <mergeCell ref="C11:F11"/>
    <mergeCell ref="J11:M11"/>
    <mergeCell ref="I8:M8"/>
    <mergeCell ref="B8:F8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RowColHeaders="0" zoomScalePageLayoutView="0" workbookViewId="0" topLeftCell="A1">
      <selection activeCell="I12" sqref="I12"/>
    </sheetView>
  </sheetViews>
  <sheetFormatPr defaultColWidth="12" defaultRowHeight="12.75"/>
  <cols>
    <col min="1" max="1" width="7" style="213" customWidth="1"/>
    <col min="2" max="2" width="27.83203125" style="213" customWidth="1"/>
    <col min="3" max="3" width="9.83203125" style="213" customWidth="1"/>
    <col min="4" max="4" width="7.83203125" style="213" customWidth="1"/>
    <col min="5" max="5" width="8.83203125" style="213" customWidth="1"/>
    <col min="6" max="6" width="7.83203125" style="213" customWidth="1"/>
    <col min="7" max="7" width="9.83203125" style="213" customWidth="1"/>
    <col min="8" max="8" width="27.83203125" style="213" customWidth="1"/>
    <col min="9" max="9" width="12" style="213" customWidth="1"/>
    <col min="10" max="10" width="7.83203125" style="213" customWidth="1"/>
    <col min="11" max="11" width="8.83203125" style="213" customWidth="1"/>
    <col min="12" max="12" width="7.83203125" style="213" customWidth="1"/>
    <col min="13" max="13" width="9.83203125" style="213" customWidth="1"/>
    <col min="14" max="14" width="2.33203125" style="213" customWidth="1"/>
    <col min="15" max="16384" width="12" style="213" customWidth="1"/>
  </cols>
  <sheetData>
    <row r="1" spans="1:14" ht="42" customHeight="1" thickBot="1">
      <c r="A1" s="401" t="s">
        <v>180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3"/>
      <c r="N1" s="212"/>
    </row>
    <row r="2" ht="30.75" customHeight="1">
      <c r="A2" s="214" t="s">
        <v>181</v>
      </c>
    </row>
    <row r="3" spans="2:8" ht="15.75">
      <c r="B3" s="398" t="s">
        <v>182</v>
      </c>
      <c r="C3" s="398"/>
      <c r="D3" s="399">
        <f>Participants!K9</f>
        <v>0</v>
      </c>
      <c r="E3" s="399"/>
      <c r="F3" s="399"/>
      <c r="G3" s="399"/>
      <c r="H3" s="399"/>
    </row>
    <row r="4" spans="2:8" ht="15.75">
      <c r="B4" s="398" t="s">
        <v>183</v>
      </c>
      <c r="C4" s="398"/>
      <c r="D4" s="404">
        <f>Participants!B7</f>
        <v>0</v>
      </c>
      <c r="E4" s="404"/>
      <c r="F4" s="404"/>
      <c r="G4" s="404"/>
      <c r="H4" s="404"/>
    </row>
    <row r="5" spans="2:8" ht="15.75">
      <c r="B5" s="398" t="s">
        <v>184</v>
      </c>
      <c r="C5" s="398"/>
      <c r="D5" s="399">
        <f>Participants!D5</f>
        <v>0</v>
      </c>
      <c r="E5" s="399"/>
      <c r="F5" s="399"/>
      <c r="G5" s="399"/>
      <c r="H5" s="399"/>
    </row>
    <row r="6" spans="2:8" ht="15.75">
      <c r="B6" s="398" t="s">
        <v>185</v>
      </c>
      <c r="C6" s="398"/>
      <c r="D6" s="399">
        <f>Participants!E5</f>
        <v>0</v>
      </c>
      <c r="E6" s="399"/>
      <c r="F6" s="399"/>
      <c r="G6" s="399"/>
      <c r="H6" s="399"/>
    </row>
    <row r="7" spans="2:8" ht="15.75">
      <c r="B7" s="398" t="s">
        <v>186</v>
      </c>
      <c r="C7" s="398"/>
      <c r="D7" s="399">
        <f>Participants!F5</f>
        <v>0</v>
      </c>
      <c r="E7" s="399"/>
      <c r="F7" s="399"/>
      <c r="G7" s="399"/>
      <c r="H7" s="399"/>
    </row>
    <row r="8" spans="2:8" ht="15.75">
      <c r="B8" s="398" t="s">
        <v>187</v>
      </c>
      <c r="C8" s="398"/>
      <c r="D8" s="400">
        <f>Participants!E7</f>
        <v>0</v>
      </c>
      <c r="E8" s="400"/>
      <c r="F8" s="400"/>
      <c r="G8" s="400"/>
      <c r="H8" s="400"/>
    </row>
    <row r="9" ht="6" customHeight="1">
      <c r="N9" s="215"/>
    </row>
    <row r="10" spans="2:14" ht="31.5" customHeight="1">
      <c r="B10" s="395" t="s">
        <v>188</v>
      </c>
      <c r="C10" s="396"/>
      <c r="D10" s="396"/>
      <c r="E10" s="396"/>
      <c r="F10" s="396"/>
      <c r="G10" s="397"/>
      <c r="H10" s="395" t="s">
        <v>189</v>
      </c>
      <c r="I10" s="396"/>
      <c r="J10" s="396"/>
      <c r="K10" s="396"/>
      <c r="L10" s="396"/>
      <c r="M10" s="397"/>
      <c r="N10" s="215"/>
    </row>
    <row r="11" spans="1:14" ht="31.5" customHeight="1">
      <c r="A11" s="216" t="s">
        <v>190</v>
      </c>
      <c r="B11" s="217" t="s">
        <v>191</v>
      </c>
      <c r="C11" s="218" t="s">
        <v>46</v>
      </c>
      <c r="D11" s="218" t="s">
        <v>7</v>
      </c>
      <c r="E11" s="218" t="s">
        <v>8</v>
      </c>
      <c r="F11" s="218" t="s">
        <v>9</v>
      </c>
      <c r="G11" s="219" t="s">
        <v>28</v>
      </c>
      <c r="H11" s="217" t="s">
        <v>191</v>
      </c>
      <c r="I11" s="218" t="s">
        <v>46</v>
      </c>
      <c r="J11" s="218" t="s">
        <v>7</v>
      </c>
      <c r="K11" s="218" t="s">
        <v>8</v>
      </c>
      <c r="L11" s="218" t="s">
        <v>9</v>
      </c>
      <c r="M11" s="219" t="s">
        <v>28</v>
      </c>
      <c r="N11" s="215"/>
    </row>
    <row r="12" spans="1:14" ht="21" customHeight="1">
      <c r="A12" s="243">
        <v>1</v>
      </c>
      <c r="B12" s="220">
        <f>'Phase de poule'!C4</f>
      </c>
      <c r="C12" s="221">
        <f aca="true" t="shared" si="0" ref="C12:C22">_xlfn.IFERROR(VLOOKUP(B12,info_joueur,3,FALSE),"")</f>
      </c>
      <c r="D12" s="221">
        <f>IF('Phase de poule'!D4&lt;&gt;"",'Phase de poule'!D4,"")</f>
      </c>
      <c r="E12" s="221">
        <f>IF('Phase de poule'!E4&lt;&gt;"",'Phase de poule'!E4,"")</f>
      </c>
      <c r="F12" s="221">
        <f>IF('Phase de poule'!F4&lt;&gt;"",'Phase de poule'!F4,"")</f>
      </c>
      <c r="G12" s="221">
        <f>IF('Phase de poule'!G4&lt;&gt;"",'Phase de poule'!G4,"")</f>
      </c>
      <c r="H12" s="220">
        <f>'Phase de poule'!C5</f>
      </c>
      <c r="I12" s="221">
        <f aca="true" t="shared" si="1" ref="I12:I22">_xlfn.IFERROR(VLOOKUP(H12,info_joueur,3,FALSE),"")</f>
      </c>
      <c r="J12" s="221">
        <f>IF('Phase de poule'!D5&lt;&gt;"",'Phase de poule'!D5,"")</f>
      </c>
      <c r="K12" s="221">
        <f>IF('Phase de poule'!E5&lt;&gt;"",'Phase de poule'!E5,"")</f>
      </c>
      <c r="L12" s="221">
        <f>IF('Phase de poule'!F5&lt;&gt;"",'Phase de poule'!F5,"")</f>
      </c>
      <c r="M12" s="221">
        <f>IF('Phase de poule'!G5&lt;&gt;"",'Phase de poule'!G5,"")</f>
      </c>
      <c r="N12" s="215"/>
    </row>
    <row r="13" spans="1:14" ht="21" customHeight="1">
      <c r="A13" s="222">
        <v>2</v>
      </c>
      <c r="B13" s="223">
        <f>'Phase de poule'!C6</f>
      </c>
      <c r="C13" s="224">
        <f t="shared" si="0"/>
      </c>
      <c r="D13" s="224">
        <f>IF('Phase de poule'!D6&lt;&gt;"",'Phase de poule'!D6,"")</f>
      </c>
      <c r="E13" s="224">
        <f>IF('Phase de poule'!E6&lt;&gt;"",'Phase de poule'!E6,"")</f>
      </c>
      <c r="F13" s="224">
        <f>IF('Phase de poule'!F6&lt;&gt;"",'Phase de poule'!F6,"")</f>
      </c>
      <c r="G13" s="224">
        <f>IF('Phase de poule'!G6&lt;&gt;"",'Phase de poule'!G6,"")</f>
      </c>
      <c r="H13" s="223">
        <f>'Phase de poule'!C7</f>
      </c>
      <c r="I13" s="224">
        <f t="shared" si="1"/>
      </c>
      <c r="J13" s="224">
        <f>IF('Phase de poule'!D7&lt;&gt;"",'Phase de poule'!D7,"")</f>
      </c>
      <c r="K13" s="224">
        <f>IF('Phase de poule'!E7&lt;&gt;"",'Phase de poule'!E7,"")</f>
      </c>
      <c r="L13" s="224">
        <f>IF('Phase de poule'!F7&lt;&gt;"",'Phase de poule'!F7,"")</f>
      </c>
      <c r="M13" s="224">
        <f>IF('Phase de poule'!G7&lt;&gt;"",'Phase de poule'!G7,"")</f>
      </c>
      <c r="N13" s="215"/>
    </row>
    <row r="14" spans="1:14" ht="21" customHeight="1">
      <c r="A14" s="244">
        <v>3</v>
      </c>
      <c r="B14" s="225">
        <f>'Phase de poule'!C9</f>
      </c>
      <c r="C14" s="226">
        <f t="shared" si="0"/>
      </c>
      <c r="D14" s="226">
        <f>IF('Phase de poule'!D9&lt;&gt;"",'Phase de poule'!D9,"")</f>
      </c>
      <c r="E14" s="226">
        <f>IF('Phase de poule'!E9&lt;&gt;"",'Phase de poule'!E9,"")</f>
      </c>
      <c r="F14" s="226">
        <f>IF('Phase de poule'!F9&lt;&gt;"",'Phase de poule'!F9,"")</f>
      </c>
      <c r="G14" s="226">
        <f>IF('Phase de poule'!G9&lt;&gt;"",'Phase de poule'!G9,"")</f>
      </c>
      <c r="H14" s="225">
        <f>'Phase de poule'!C10</f>
      </c>
      <c r="I14" s="226">
        <f t="shared" si="1"/>
      </c>
      <c r="J14" s="226">
        <f>IF('Phase de poule'!D10&lt;&gt;"",'Phase de poule'!D10,"")</f>
      </c>
      <c r="K14" s="226">
        <f>IF('Phase de poule'!E10&lt;&gt;"",'Phase de poule'!E10,"")</f>
      </c>
      <c r="L14" s="226">
        <f>IF('Phase de poule'!F10&lt;&gt;"",'Phase de poule'!F10,"")</f>
      </c>
      <c r="M14" s="226">
        <f>IF('Phase de poule'!G10&lt;&gt;"",'Phase de poule'!G10,"")</f>
      </c>
      <c r="N14" s="215"/>
    </row>
    <row r="15" spans="1:14" ht="21" customHeight="1">
      <c r="A15" s="222">
        <v>4</v>
      </c>
      <c r="B15" s="223">
        <f>'Phase de poule'!C11</f>
      </c>
      <c r="C15" s="224">
        <f t="shared" si="0"/>
      </c>
      <c r="D15" s="224">
        <f>IF('Phase de poule'!D11&lt;&gt;"",'Phase de poule'!D11,"")</f>
      </c>
      <c r="E15" s="224">
        <f>IF('Phase de poule'!E11&lt;&gt;"",'Phase de poule'!E11,"")</f>
      </c>
      <c r="F15" s="224">
        <f>IF('Phase de poule'!F11&lt;&gt;"",'Phase de poule'!F11,"")</f>
      </c>
      <c r="G15" s="224">
        <f>IF('Phase de poule'!G11&lt;&gt;"",'Phase de poule'!G11,"")</f>
      </c>
      <c r="H15" s="223">
        <f>'Phase de poule'!C12</f>
      </c>
      <c r="I15" s="224">
        <f t="shared" si="1"/>
      </c>
      <c r="J15" s="224">
        <f>IF('Phase de poule'!D12&lt;&gt;"",'Phase de poule'!D12,"")</f>
      </c>
      <c r="K15" s="224">
        <f>IF('Phase de poule'!E12&lt;&gt;"",'Phase de poule'!E12,"")</f>
      </c>
      <c r="L15" s="224">
        <f>IF('Phase de poule'!F12&lt;&gt;"",'Phase de poule'!F12,"")</f>
      </c>
      <c r="M15" s="224">
        <f>IF('Phase de poule'!G12&lt;&gt;"",'Phase de poule'!G12,"")</f>
      </c>
      <c r="N15" s="215"/>
    </row>
    <row r="16" spans="1:14" ht="21" customHeight="1">
      <c r="A16" s="244">
        <v>5</v>
      </c>
      <c r="B16" s="225">
        <f>'Phase de poule'!C14</f>
      </c>
      <c r="C16" s="226">
        <f t="shared" si="0"/>
      </c>
      <c r="D16" s="226">
        <f>IF('Phase de poule'!D14&lt;&gt;"",'Phase de poule'!D14,"")</f>
      </c>
      <c r="E16" s="226">
        <f>IF('Phase de poule'!E14&lt;&gt;"",'Phase de poule'!E14,"")</f>
      </c>
      <c r="F16" s="226">
        <f>IF('Phase de poule'!F14&lt;&gt;"",'Phase de poule'!F14,"")</f>
      </c>
      <c r="G16" s="226">
        <f>IF('Phase de poule'!G14&lt;&gt;"",'Phase de poule'!G14,"")</f>
      </c>
      <c r="H16" s="225">
        <f>'Phase de poule'!C15</f>
      </c>
      <c r="I16" s="226">
        <f t="shared" si="1"/>
      </c>
      <c r="J16" s="226">
        <f>IF('Phase de poule'!D15&lt;&gt;"",'Phase de poule'!D15,"")</f>
      </c>
      <c r="K16" s="226">
        <f>IF('Phase de poule'!E15&lt;&gt;"",'Phase de poule'!E15,"")</f>
      </c>
      <c r="L16" s="226">
        <f>IF('Phase de poule'!F15&lt;&gt;"",'Phase de poule'!F15,"")</f>
      </c>
      <c r="M16" s="226">
        <f>IF('Phase de poule'!G15&lt;&gt;"",'Phase de poule'!G15,"")</f>
      </c>
      <c r="N16" s="215"/>
    </row>
    <row r="17" spans="1:14" ht="21" customHeight="1">
      <c r="A17" s="222">
        <v>6</v>
      </c>
      <c r="B17" s="223">
        <f>'Phase de poule'!C16</f>
      </c>
      <c r="C17" s="224">
        <f t="shared" si="0"/>
      </c>
      <c r="D17" s="224">
        <f>IF('Phase de poule'!D16&lt;&gt;"",'Phase de poule'!D16,"")</f>
      </c>
      <c r="E17" s="224">
        <f>IF('Phase de poule'!E16&lt;&gt;"",'Phase de poule'!E16,"")</f>
      </c>
      <c r="F17" s="224">
        <f>IF('Phase de poule'!F16&lt;&gt;"",'Phase de poule'!F16,"")</f>
      </c>
      <c r="G17" s="224">
        <f>IF('Phase de poule'!G16&lt;&gt;"",'Phase de poule'!G16,"")</f>
      </c>
      <c r="H17" s="223">
        <f>'Phase de poule'!C17</f>
      </c>
      <c r="I17" s="224">
        <f t="shared" si="1"/>
      </c>
      <c r="J17" s="224">
        <f>IF('Phase de poule'!D17&lt;&gt;"",'Phase de poule'!D17,"")</f>
      </c>
      <c r="K17" s="224">
        <f>IF('Phase de poule'!E17&lt;&gt;"",'Phase de poule'!E17,"")</f>
      </c>
      <c r="L17" s="224">
        <f>IF('Phase de poule'!F17&lt;&gt;"",'Phase de poule'!F17,"")</f>
      </c>
      <c r="M17" s="224">
        <f>IF('Phase de poule'!G17&lt;&gt;"",'Phase de poule'!G17,"")</f>
      </c>
      <c r="N17" s="215"/>
    </row>
    <row r="18" spans="1:14" ht="21" customHeight="1">
      <c r="A18" s="244">
        <v>7</v>
      </c>
      <c r="B18" s="225">
        <f>'Phase finale'!C4</f>
      </c>
      <c r="C18" s="226">
        <f t="shared" si="0"/>
      </c>
      <c r="D18" s="226">
        <f>IF('Phase finale'!E4&lt;&gt;"",'Phase finale'!E4,"")</f>
      </c>
      <c r="E18" s="226">
        <f>IF('Phase finale'!F4&lt;&gt;"",'Phase finale'!F4,"")</f>
      </c>
      <c r="F18" s="226">
        <f>IF('Phase finale'!G4&lt;&gt;"",'Phase finale'!G4,"")</f>
      </c>
      <c r="G18" s="226">
        <f>IF('Phase finale'!H4&lt;&gt;"",'Phase finale'!H4,"")</f>
      </c>
      <c r="H18" s="225">
        <f>'Phase finale'!C5</f>
      </c>
      <c r="I18" s="226">
        <f t="shared" si="1"/>
      </c>
      <c r="J18" s="226">
        <f>IF('Phase finale'!E5&lt;&gt;"",'Phase finale'!E5,"")</f>
      </c>
      <c r="K18" s="226">
        <f>IF('Phase finale'!F5&lt;&gt;"",'Phase finale'!F5,"")</f>
      </c>
      <c r="L18" s="226">
        <f>IF('Phase finale'!G5&lt;&gt;"",'Phase finale'!G5,"")</f>
      </c>
      <c r="M18" s="226">
        <f>IF('Phase finale'!H5&lt;&gt;"",'Phase finale'!H5,"")</f>
      </c>
      <c r="N18" s="215"/>
    </row>
    <row r="19" spans="1:14" ht="21" customHeight="1">
      <c r="A19" s="222">
        <v>8</v>
      </c>
      <c r="B19" s="223">
        <f>'Phase finale'!C6</f>
      </c>
      <c r="C19" s="224">
        <f t="shared" si="0"/>
      </c>
      <c r="D19" s="224">
        <f>IF('Phase finale'!E6&lt;&gt;"",'Phase finale'!E6,"")</f>
      </c>
      <c r="E19" s="224">
        <f>IF('Phase finale'!F6&lt;&gt;"",'Phase finale'!F6,"")</f>
      </c>
      <c r="F19" s="224">
        <f>IF('Phase finale'!G6&lt;&gt;"",'Phase finale'!G6,"")</f>
      </c>
      <c r="G19" s="224">
        <f>IF('Phase finale'!H6&lt;&gt;"",'Phase finale'!H6,"")</f>
      </c>
      <c r="H19" s="223">
        <f>'Phase finale'!C7</f>
      </c>
      <c r="I19" s="224">
        <f t="shared" si="1"/>
      </c>
      <c r="J19" s="224">
        <f>IF('Phase finale'!E7&lt;&gt;"",'Phase finale'!E7,"")</f>
      </c>
      <c r="K19" s="224">
        <f>IF('Phase finale'!F7&lt;&gt;"",'Phase finale'!F7,"")</f>
      </c>
      <c r="L19" s="224">
        <f>IF('Phase finale'!G7&lt;&gt;"",'Phase finale'!G7,"")</f>
      </c>
      <c r="M19" s="224">
        <f>IF('Phase finale'!H7&lt;&gt;"",'Phase finale'!H7,"")</f>
      </c>
      <c r="N19" s="215"/>
    </row>
    <row r="20" spans="1:14" ht="21" customHeight="1">
      <c r="A20" s="244">
        <v>9</v>
      </c>
      <c r="B20" s="225">
        <f>'Phase finale'!C9</f>
      </c>
      <c r="C20" s="226">
        <f t="shared" si="0"/>
      </c>
      <c r="D20" s="226">
        <f>IF('Phase finale'!E9&lt;&gt;"",'Phase finale'!E9,"")</f>
      </c>
      <c r="E20" s="226">
        <f>IF('Phase finale'!F9&lt;&gt;"",'Phase finale'!F9,"")</f>
      </c>
      <c r="F20" s="226">
        <f>IF('Phase finale'!G9&lt;&gt;"",'Phase finale'!G9,"")</f>
      </c>
      <c r="G20" s="226">
        <f>IF('Phase finale'!H9&lt;&gt;"",'Phase finale'!H9,"")</f>
      </c>
      <c r="H20" s="225">
        <f>'Phase finale'!C10</f>
      </c>
      <c r="I20" s="226">
        <f t="shared" si="1"/>
      </c>
      <c r="J20" s="226">
        <f>IF('Phase finale'!E10&lt;&gt;"",'Phase finale'!E10,"")</f>
      </c>
      <c r="K20" s="226">
        <f>IF('Phase finale'!F10&lt;&gt;"",'Phase finale'!F10,"")</f>
      </c>
      <c r="L20" s="226">
        <f>IF('Phase finale'!G10&lt;&gt;"",'Phase finale'!G10,"")</f>
      </c>
      <c r="M20" s="226">
        <f>IF('Phase finale'!H10&lt;&gt;"",'Phase finale'!H10,"")</f>
      </c>
      <c r="N20" s="215"/>
    </row>
    <row r="21" spans="1:14" ht="21" customHeight="1">
      <c r="A21" s="222">
        <v>10</v>
      </c>
      <c r="B21" s="223">
        <f>'Phase finale'!C11</f>
      </c>
      <c r="C21" s="224">
        <f t="shared" si="0"/>
      </c>
      <c r="D21" s="224">
        <f>IF('Phase finale'!E11&lt;&gt;"",'Phase finale'!E11,"")</f>
      </c>
      <c r="E21" s="224">
        <f>IF('Phase finale'!F11&lt;&gt;"",'Phase finale'!F11,"")</f>
      </c>
      <c r="F21" s="224">
        <f>IF('Phase finale'!G11&lt;&gt;"",'Phase finale'!G11,"")</f>
      </c>
      <c r="G21" s="224">
        <f>IF('Phase finale'!H11&lt;&gt;"",'Phase finale'!H11,"")</f>
      </c>
      <c r="H21" s="223">
        <f>'Phase finale'!C12</f>
      </c>
      <c r="I21" s="224">
        <f t="shared" si="1"/>
      </c>
      <c r="J21" s="224">
        <f>IF('Phase finale'!E12&lt;&gt;"",'Phase finale'!E12,"")</f>
      </c>
      <c r="K21" s="224">
        <f>IF('Phase finale'!F12&lt;&gt;"",'Phase finale'!F12,"")</f>
      </c>
      <c r="L21" s="224">
        <f>IF('Phase finale'!G12&lt;&gt;"",'Phase finale'!G12,"")</f>
      </c>
      <c r="M21" s="224">
        <f>IF('Phase finale'!H12&lt;&gt;"",'Phase finale'!H12,"")</f>
      </c>
      <c r="N21" s="215"/>
    </row>
    <row r="22" spans="1:14" ht="21" customHeight="1">
      <c r="A22" s="245">
        <v>11</v>
      </c>
      <c r="B22" s="227">
        <f>'Phase finale'!C13</f>
      </c>
      <c r="C22" s="228">
        <f t="shared" si="0"/>
      </c>
      <c r="D22" s="228">
        <f>IF('Phase finale'!E13&lt;&gt;"",'Phase finale'!E13,"")</f>
      </c>
      <c r="E22" s="228">
        <f>IF('Phase finale'!F13&lt;&gt;"",'Phase finale'!F13,"")</f>
      </c>
      <c r="F22" s="228">
        <f>IF('Phase finale'!G13&lt;&gt;"",'Phase finale'!G13,"")</f>
      </c>
      <c r="G22" s="228">
        <f>IF('Phase finale'!H13&lt;&gt;"",'Phase finale'!H13,"")</f>
      </c>
      <c r="H22" s="227">
        <f>'Phase finale'!C14</f>
      </c>
      <c r="I22" s="228">
        <f t="shared" si="1"/>
      </c>
      <c r="J22" s="228">
        <f>IF('Phase finale'!E14&lt;&gt;"",'Phase finale'!E14,"")</f>
      </c>
      <c r="K22" s="228">
        <f>IF('Phase finale'!F14&lt;&gt;"",'Phase finale'!F14,"")</f>
      </c>
      <c r="L22" s="228">
        <f>IF('Phase finale'!G14&lt;&gt;"",'Phase finale'!G14,"")</f>
      </c>
      <c r="M22" s="228">
        <f>IF('Phase finale'!H14&lt;&gt;"",'Phase finale'!H14,"")</f>
      </c>
      <c r="N22" s="215"/>
    </row>
    <row r="23" ht="21" customHeight="1">
      <c r="A23" s="229"/>
    </row>
  </sheetData>
  <sheetProtection password="CA59" sheet="1" selectLockedCells="1" selectUnlockedCells="1"/>
  <mergeCells count="15">
    <mergeCell ref="A1:M1"/>
    <mergeCell ref="B3:C3"/>
    <mergeCell ref="D3:H3"/>
    <mergeCell ref="B4:C4"/>
    <mergeCell ref="D4:H4"/>
    <mergeCell ref="B5:C5"/>
    <mergeCell ref="D5:H5"/>
    <mergeCell ref="B10:G10"/>
    <mergeCell ref="H10:M10"/>
    <mergeCell ref="B6:C6"/>
    <mergeCell ref="D6:H6"/>
    <mergeCell ref="B7:C7"/>
    <mergeCell ref="D7:H7"/>
    <mergeCell ref="B8:C8"/>
    <mergeCell ref="D8:H8"/>
  </mergeCell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Vigne</dc:creator>
  <cp:keywords/>
  <dc:description/>
  <cp:lastModifiedBy>Pierre VIGNE</cp:lastModifiedBy>
  <cp:lastPrinted>2018-05-15T11:37:09Z</cp:lastPrinted>
  <dcterms:created xsi:type="dcterms:W3CDTF">2002-12-29T10:38:03Z</dcterms:created>
  <dcterms:modified xsi:type="dcterms:W3CDTF">2022-10-31T12:16:26Z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