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05" windowHeight="4740" tabRatio="578" firstSheet="1" activeTab="1"/>
  </bookViews>
  <sheets>
    <sheet name="données" sheetId="1" state="hidden" r:id="rId1"/>
    <sheet name="Participants" sheetId="2" r:id="rId2"/>
    <sheet name="Phase de poule" sheetId="3" r:id="rId3"/>
    <sheet name="Classement" sheetId="4" r:id="rId4"/>
    <sheet name="Phase finale" sheetId="5" r:id="rId5"/>
    <sheet name="Feuille de match" sheetId="6" r:id="rId6"/>
    <sheet name="Saisie FFB" sheetId="7" r:id="rId7"/>
  </sheets>
  <definedNames>
    <definedName name="_xlfn.IFERROR" hidden="1">#NAME?</definedName>
    <definedName name="categorie">'données'!$B$2:$B$12</definedName>
    <definedName name="class_ap_qual">'Classement'!$B$24:$C$38</definedName>
    <definedName name="classement">'Feuille de match'!$AD$55:$AH$66</definedName>
    <definedName name="forfait">'données'!$G$4:$G$5</definedName>
    <definedName name="format_billard">'données'!$A$21:$A$31</definedName>
    <definedName name="info_joueur">'données'!$D$3:$F$212</definedName>
    <definedName name="Joueur">'données'!$D$3:$D$212</definedName>
    <definedName name="lieux">'données'!$I$2:$I$8</definedName>
    <definedName name="mode_de_jeu">'données'!$A$2:$A$6</definedName>
    <definedName name="pt_final">'données'!$B$16:$B$17</definedName>
    <definedName name="pt_qualif">'données'!$A$16:$A$18</definedName>
    <definedName name="tour">'données'!$C$2:$C$6</definedName>
    <definedName name="tour_1">'Phase de poule'!$C$4:$H$11</definedName>
    <definedName name="tour_2">'Phase de poule'!$C$13:$H$20</definedName>
    <definedName name="tour_3">'Phase de poule'!$C$22:$H$29</definedName>
    <definedName name="tour_4">'Phase finale'!$C$4:$I$11</definedName>
    <definedName name="tour_5">'Phase finale'!$C$13:$I$20</definedName>
    <definedName name="tour_num_4">'Phase finale'!$C$4:$I$11</definedName>
    <definedName name="tour_num_5">'Phase finale'!$C$13:$I$20</definedName>
  </definedNames>
  <calcPr fullCalcOnLoad="1"/>
</workbook>
</file>

<file path=xl/comments2.xml><?xml version="1.0" encoding="utf-8"?>
<comments xmlns="http://schemas.openxmlformats.org/spreadsheetml/2006/main">
  <authors>
    <author>Pierre</author>
  </authors>
  <commentList>
    <comment ref="G5" authorId="0">
      <text>
        <r>
          <rPr>
            <u val="single"/>
            <sz val="9"/>
            <rFont val="Tahoma"/>
            <family val="2"/>
          </rPr>
          <t>Distance</t>
        </r>
        <r>
          <rPr>
            <sz val="9"/>
            <rFont val="Tahoma"/>
            <family val="2"/>
          </rPr>
          <t xml:space="preserve"> : </t>
        </r>
        <r>
          <rPr>
            <b/>
            <sz val="9"/>
            <rFont val="Tahoma"/>
            <family val="2"/>
          </rPr>
          <t>25 pts ou 50 rep.</t>
        </r>
        <r>
          <rPr>
            <sz val="9"/>
            <rFont val="Tahoma"/>
            <family val="2"/>
          </rPr>
          <t xml:space="preserve"> par exemple
</t>
        </r>
      </text>
    </comment>
    <comment ref="B7" authorId="0">
      <text>
        <r>
          <rPr>
            <u val="single"/>
            <sz val="9"/>
            <rFont val="Tahoma"/>
            <family val="2"/>
          </rPr>
          <t>Date de l'épreuve :</t>
        </r>
        <r>
          <rPr>
            <b/>
            <sz val="9"/>
            <rFont val="Tahoma"/>
            <family val="2"/>
          </rPr>
          <t xml:space="preserve"> 
23/10/2013</t>
        </r>
        <r>
          <rPr>
            <sz val="9"/>
            <rFont val="Tahoma"/>
            <family val="2"/>
          </rPr>
          <t xml:space="preserve"> par exemple
</t>
        </r>
      </text>
    </comment>
  </commentList>
</comments>
</file>

<file path=xl/sharedStrings.xml><?xml version="1.0" encoding="utf-8"?>
<sst xmlns="http://schemas.openxmlformats.org/spreadsheetml/2006/main" count="1088" uniqueCount="659">
  <si>
    <t>Directeur de jeu</t>
  </si>
  <si>
    <t>Mode de jeu</t>
  </si>
  <si>
    <t>Catégorie</t>
  </si>
  <si>
    <t>Distance</t>
  </si>
  <si>
    <t>Tour</t>
  </si>
  <si>
    <t>Nom et Prénom</t>
  </si>
  <si>
    <t>Club d'appartenance</t>
  </si>
  <si>
    <t>Points</t>
  </si>
  <si>
    <t>Reprises</t>
  </si>
  <si>
    <t>Série</t>
  </si>
  <si>
    <t>Points de match</t>
  </si>
  <si>
    <t>Moyenne</t>
  </si>
  <si>
    <t>points</t>
  </si>
  <si>
    <t>série</t>
  </si>
  <si>
    <t>points de match</t>
  </si>
  <si>
    <t>reprises</t>
  </si>
  <si>
    <t>Classement général par poule</t>
  </si>
  <si>
    <t>Fédération Française de Billard</t>
  </si>
  <si>
    <t>Lieu de l'épreuve :</t>
  </si>
  <si>
    <t>Mode de jeu :</t>
  </si>
  <si>
    <t>Catégorie :</t>
  </si>
  <si>
    <t>Distance :</t>
  </si>
  <si>
    <t>Date de l'épreuve :</t>
  </si>
  <si>
    <t>Club :</t>
  </si>
  <si>
    <t>Points de
match</t>
  </si>
  <si>
    <t xml:space="preserve">Total :   </t>
  </si>
  <si>
    <t>Points de ranking obtenus :</t>
  </si>
  <si>
    <t>Moyenne particulière :</t>
  </si>
  <si>
    <t>Signature du joueur</t>
  </si>
  <si>
    <t>Tête de série  A</t>
  </si>
  <si>
    <t>Tête de série  B</t>
  </si>
  <si>
    <t>Tête de série  C</t>
  </si>
  <si>
    <t>Forfait</t>
  </si>
  <si>
    <t xml:space="preserve">moyenne </t>
  </si>
  <si>
    <t xml:space="preserve">moyenne particulière </t>
  </si>
  <si>
    <t>Le classement s'effectue selon les points de match puis la moyenne, la moyenne particulière et la série si nécessaire</t>
  </si>
  <si>
    <t>Joueur  N°A2</t>
  </si>
  <si>
    <t>Joueur  N°A3</t>
  </si>
  <si>
    <t>Joueur  N°B2</t>
  </si>
  <si>
    <t>Joueur  N°B3</t>
  </si>
  <si>
    <t>Joueur  N°C2</t>
  </si>
  <si>
    <t>Joueur  N°C3</t>
  </si>
  <si>
    <t>Club</t>
  </si>
  <si>
    <t>Compétiteurs</t>
  </si>
  <si>
    <t>Licence</t>
  </si>
  <si>
    <t>Nom joueur</t>
  </si>
  <si>
    <t>Date de l'épreuve</t>
  </si>
  <si>
    <t>Nationale 3</t>
  </si>
  <si>
    <t>T1</t>
  </si>
  <si>
    <t>Excusé</t>
  </si>
  <si>
    <t>Non excusé</t>
  </si>
  <si>
    <t>T2</t>
  </si>
  <si>
    <t>T3</t>
  </si>
  <si>
    <t>T4</t>
  </si>
  <si>
    <t>T5</t>
  </si>
  <si>
    <t>Libre</t>
  </si>
  <si>
    <t>Bande</t>
  </si>
  <si>
    <t>3 bandes</t>
  </si>
  <si>
    <t>Cadre</t>
  </si>
  <si>
    <t xml:space="preserve">BILLARD CLUB GAILLONNAIS          </t>
  </si>
  <si>
    <t xml:space="preserve">BILLARD CLUB DE LA SAUSSAYE       </t>
  </si>
  <si>
    <t xml:space="preserve">BILLARD AMICAL CLUB LOVERIEN      </t>
  </si>
  <si>
    <t xml:space="preserve">BILLARD CLUB DE SAINT-MARCEL      </t>
  </si>
  <si>
    <t xml:space="preserve">BILLARD CLUB EBROICIEN            </t>
  </si>
  <si>
    <t xml:space="preserve">BILLARD CLUB PACEEN               </t>
  </si>
  <si>
    <t>Sans</t>
  </si>
  <si>
    <t>Régionale</t>
  </si>
  <si>
    <t>Régionale 1</t>
  </si>
  <si>
    <t>Régionale 2</t>
  </si>
  <si>
    <t>Régionale 3</t>
  </si>
  <si>
    <t>Régionale 4</t>
  </si>
  <si>
    <t>Nationale 1</t>
  </si>
  <si>
    <t>Nationale 2</t>
  </si>
  <si>
    <t>Tour :</t>
  </si>
  <si>
    <t>PARTICIPANTS</t>
  </si>
  <si>
    <t>Date :</t>
  </si>
  <si>
    <t>n° et rue</t>
  </si>
  <si>
    <t>LIEU DE L'EPREUVE</t>
  </si>
  <si>
    <t>Classement</t>
  </si>
  <si>
    <t>Saisir 1, 2 ou 3 dans la colonne classement</t>
  </si>
  <si>
    <r>
      <t>1</t>
    </r>
    <r>
      <rPr>
        <vertAlign val="superscript"/>
        <sz val="9"/>
        <rFont val="Arial Narrow"/>
        <family val="2"/>
      </rPr>
      <t>er</t>
    </r>
  </si>
  <si>
    <r>
      <t>2</t>
    </r>
    <r>
      <rPr>
        <vertAlign val="superscript"/>
        <sz val="9"/>
        <rFont val="Arial Narrow"/>
        <family val="2"/>
      </rPr>
      <t>ème</t>
    </r>
  </si>
  <si>
    <r>
      <t>3</t>
    </r>
    <r>
      <rPr>
        <vertAlign val="superscript"/>
        <sz val="9"/>
        <rFont val="Arial Narrow"/>
        <family val="2"/>
      </rPr>
      <t>ème</t>
    </r>
  </si>
  <si>
    <t>Classement des vainqueurs de poule</t>
  </si>
  <si>
    <r>
      <t>4</t>
    </r>
    <r>
      <rPr>
        <vertAlign val="superscript"/>
        <sz val="9"/>
        <rFont val="Arial Narrow"/>
        <family val="2"/>
      </rPr>
      <t>ème</t>
    </r>
  </si>
  <si>
    <r>
      <t>5</t>
    </r>
    <r>
      <rPr>
        <vertAlign val="superscript"/>
        <sz val="9"/>
        <rFont val="Arial Narrow"/>
        <family val="2"/>
      </rPr>
      <t>ème</t>
    </r>
  </si>
  <si>
    <r>
      <t>6</t>
    </r>
    <r>
      <rPr>
        <vertAlign val="superscript"/>
        <sz val="9"/>
        <rFont val="Arial Narrow"/>
        <family val="2"/>
      </rPr>
      <t>ème</t>
    </r>
  </si>
  <si>
    <r>
      <t>7</t>
    </r>
    <r>
      <rPr>
        <vertAlign val="superscript"/>
        <sz val="9"/>
        <rFont val="Arial Narrow"/>
        <family val="2"/>
      </rPr>
      <t>ème</t>
    </r>
  </si>
  <si>
    <r>
      <t>8</t>
    </r>
    <r>
      <rPr>
        <vertAlign val="superscript"/>
        <sz val="9"/>
        <rFont val="Arial Narrow"/>
        <family val="2"/>
      </rPr>
      <t>ème</t>
    </r>
  </si>
  <si>
    <r>
      <t>9</t>
    </r>
    <r>
      <rPr>
        <vertAlign val="superscript"/>
        <sz val="9"/>
        <rFont val="Arial Narrow"/>
        <family val="2"/>
      </rPr>
      <t>ème</t>
    </r>
  </si>
  <si>
    <t>Dans tous les feuillets :</t>
  </si>
  <si>
    <t>Il est possible de saisir une donnée différente de celles proposées par la liste.</t>
  </si>
  <si>
    <t>Finales</t>
  </si>
  <si>
    <t>CP + Ville</t>
  </si>
  <si>
    <t>***</t>
  </si>
  <si>
    <t>3, rue Saint Jean</t>
  </si>
  <si>
    <t>27400   LOUVIERS</t>
  </si>
  <si>
    <t>Le Mille Club</t>
  </si>
  <si>
    <t>rue Lesage  - Maille</t>
  </si>
  <si>
    <t>27370   LA SAUSSAYE</t>
  </si>
  <si>
    <t>Espace Saint Exupéry</t>
  </si>
  <si>
    <t>2, rue Jules Ferry</t>
  </si>
  <si>
    <t>27950   SAINT MARCEL</t>
  </si>
  <si>
    <t>Maison des Jeunes et de la Cullture</t>
  </si>
  <si>
    <t>1, avenue Aristide Briand</t>
  </si>
  <si>
    <t>27000   EVREUX</t>
  </si>
  <si>
    <t>Centre des Arts Contemporains</t>
  </si>
  <si>
    <t>Allée de l'Ermitage</t>
  </si>
  <si>
    <t>27600   GAILLON</t>
  </si>
  <si>
    <t>12, rue Montferrand</t>
  </si>
  <si>
    <t>27120   PACY SUR EURE</t>
  </si>
  <si>
    <t>Gymnase Jacques Sébire</t>
  </si>
  <si>
    <t>Chemin de la Couture</t>
  </si>
  <si>
    <t>27300   BERNAY</t>
  </si>
  <si>
    <t>A</t>
  </si>
  <si>
    <t>B</t>
  </si>
  <si>
    <t>C</t>
  </si>
  <si>
    <t>BILLARD CLUB DE SAINT-MARCEL</t>
  </si>
  <si>
    <t>BILLARD CLUB DE LA SAUSSAYE</t>
  </si>
  <si>
    <t>BILLARD AMICAL CLUB LOVERIEN</t>
  </si>
  <si>
    <t>BILLARD CLUB EBROICIEN</t>
  </si>
  <si>
    <t>BILLARD CLUB DE BERNAY</t>
  </si>
  <si>
    <t>BILLARD CLUB GAILLONNAIS</t>
  </si>
  <si>
    <t>BILLARD CLUB PACEEN</t>
  </si>
  <si>
    <t>Nombre de joueurs</t>
  </si>
  <si>
    <t>Classement des joueurs de 4 à 9</t>
  </si>
  <si>
    <t>Joueur</t>
  </si>
  <si>
    <t>Poule</t>
  </si>
  <si>
    <t>1/2 finales</t>
  </si>
  <si>
    <t>Places</t>
  </si>
  <si>
    <t>1 / 2</t>
  </si>
  <si>
    <t>7 / 8</t>
  </si>
  <si>
    <t>3 / 4</t>
  </si>
  <si>
    <t>5 / 6</t>
  </si>
  <si>
    <t>Date</t>
  </si>
  <si>
    <t>CLASSEMENT</t>
  </si>
  <si>
    <t>Assurez-vous que ce nombre est</t>
  </si>
  <si>
    <t>exact avant de poursuivre</t>
  </si>
  <si>
    <t>Nom Club</t>
  </si>
  <si>
    <t>Tête de série A1</t>
  </si>
  <si>
    <t>Joueur A2</t>
  </si>
  <si>
    <t>Joueur A3</t>
  </si>
  <si>
    <t>Tête de série B1</t>
  </si>
  <si>
    <t>Joueur B2</t>
  </si>
  <si>
    <t>Joueur B3</t>
  </si>
  <si>
    <t>Tête de serie C1</t>
  </si>
  <si>
    <t>Joueur C2</t>
  </si>
  <si>
    <t>Joueur C3</t>
  </si>
  <si>
    <t>Les cellules grisées sont à renseigner à partir de listes préétablies ou bien manuellement.</t>
  </si>
  <si>
    <t>Tête de serie D1</t>
  </si>
  <si>
    <t>Joueur D2</t>
  </si>
  <si>
    <t>Joueur D3</t>
  </si>
  <si>
    <t>D</t>
  </si>
  <si>
    <t>Ranking   -   T12   -   Phase de Poule</t>
  </si>
  <si>
    <r>
      <t>10</t>
    </r>
    <r>
      <rPr>
        <vertAlign val="superscript"/>
        <sz val="9"/>
        <rFont val="Arial Narrow"/>
        <family val="2"/>
      </rPr>
      <t>ème</t>
    </r>
  </si>
  <si>
    <r>
      <t>11</t>
    </r>
    <r>
      <rPr>
        <vertAlign val="superscript"/>
        <sz val="9"/>
        <rFont val="Arial Narrow"/>
        <family val="2"/>
      </rPr>
      <t>ème</t>
    </r>
  </si>
  <si>
    <r>
      <t>12</t>
    </r>
    <r>
      <rPr>
        <vertAlign val="superscript"/>
        <sz val="9"/>
        <rFont val="Arial Narrow"/>
        <family val="2"/>
      </rPr>
      <t>ème</t>
    </r>
  </si>
  <si>
    <t>Tête de série  D</t>
  </si>
  <si>
    <t>Joueur  N°D2</t>
  </si>
  <si>
    <t>Joueur  N°D3</t>
  </si>
  <si>
    <t>Ranking   -   T12   -   Phase finale</t>
  </si>
  <si>
    <t>Nb_joueurs</t>
  </si>
  <si>
    <t>Vainqueur T1</t>
  </si>
  <si>
    <t>Poule A</t>
  </si>
  <si>
    <t>Poule B</t>
  </si>
  <si>
    <t>Poule C</t>
  </si>
  <si>
    <t>Total</t>
  </si>
  <si>
    <t>Nb_vide T1A</t>
  </si>
  <si>
    <t>Nb_vide T1B</t>
  </si>
  <si>
    <t>Nb_vide T1C</t>
  </si>
  <si>
    <t>Poule D</t>
  </si>
  <si>
    <t>Nb_vide T1D</t>
  </si>
  <si>
    <t>4 billes</t>
  </si>
  <si>
    <t>Cadets</t>
  </si>
  <si>
    <t>Juniors</t>
  </si>
  <si>
    <t>Féminines</t>
  </si>
  <si>
    <t>Saisir 5, 6, 7, 8, 9,10,11 ou 12 dans la colonne classement</t>
  </si>
  <si>
    <t>11 / 12</t>
  </si>
  <si>
    <t>9 / 10</t>
  </si>
  <si>
    <r>
      <t xml:space="preserve">B </t>
    </r>
    <r>
      <rPr>
        <sz val="12"/>
        <rFont val="Arial Narrow"/>
        <family val="2"/>
      </rPr>
      <t>(2/3)</t>
    </r>
  </si>
  <si>
    <r>
      <t>A</t>
    </r>
    <r>
      <rPr>
        <sz val="12"/>
        <rFont val="Arial Narrow"/>
        <family val="2"/>
      </rPr>
      <t xml:space="preserve"> (1/4)</t>
    </r>
  </si>
  <si>
    <t>Nom</t>
  </si>
  <si>
    <t>Rang</t>
  </si>
  <si>
    <t>Attention pas plus</t>
  </si>
  <si>
    <t>de 2 forfaits</t>
  </si>
  <si>
    <t>nbjoueurs</t>
  </si>
  <si>
    <t>Performances du tournoi</t>
  </si>
  <si>
    <t>Signature :</t>
  </si>
  <si>
    <t>Meilleure série effectuée</t>
  </si>
  <si>
    <t>Meilleure moyenne particulière</t>
  </si>
  <si>
    <t>Moyenne générale</t>
  </si>
  <si>
    <t>Points réalisés</t>
  </si>
  <si>
    <t>Reprises réalisées</t>
  </si>
  <si>
    <t>Cellules vides</t>
  </si>
  <si>
    <t>Places 1 à 8</t>
  </si>
  <si>
    <t>Qualif</t>
  </si>
  <si>
    <t>Final</t>
  </si>
  <si>
    <t>Gagné</t>
  </si>
  <si>
    <t>Nul</t>
  </si>
  <si>
    <t>=  2 points</t>
  </si>
  <si>
    <t>Perdu</t>
  </si>
  <si>
    <t>=  1 point</t>
  </si>
  <si>
    <t>lnb</t>
  </si>
  <si>
    <t>Format billard</t>
  </si>
  <si>
    <t>2m40</t>
  </si>
  <si>
    <t>2m60</t>
  </si>
  <si>
    <t>2m80</t>
  </si>
  <si>
    <t>3m10</t>
  </si>
  <si>
    <t>2m40 pc</t>
  </si>
  <si>
    <t>2m60 pc</t>
  </si>
  <si>
    <t>2m60 gc</t>
  </si>
  <si>
    <t>2m80 pc</t>
  </si>
  <si>
    <t>2m80 gc</t>
  </si>
  <si>
    <t>3m10 pc</t>
  </si>
  <si>
    <t>3m10 gc</t>
  </si>
  <si>
    <r>
      <rPr>
        <b/>
        <i/>
        <u val="single"/>
        <sz val="11"/>
        <color indexed="10"/>
        <rFont val="Arial Narrow"/>
        <family val="2"/>
      </rPr>
      <t xml:space="preserve">ATTENTION </t>
    </r>
    <r>
      <rPr>
        <b/>
        <i/>
        <sz val="11"/>
        <color indexed="10"/>
        <rFont val="Arial Narrow"/>
        <family val="2"/>
      </rPr>
      <t>: Dans le cas d'un joueur blanc ou forfait ne pas oublier de renseigner la cellule "Forfait"</t>
    </r>
  </si>
  <si>
    <t>Tableau d'aide à la saisie des résultats sur les sites FFB</t>
  </si>
  <si>
    <t>Compétition</t>
  </si>
  <si>
    <t xml:space="preserve">Lieu :   </t>
  </si>
  <si>
    <t xml:space="preserve">Date :   </t>
  </si>
  <si>
    <t xml:space="preserve">Mode de jeu :   </t>
  </si>
  <si>
    <t xml:space="preserve">Catégorie :   </t>
  </si>
  <si>
    <t xml:space="preserve">Tour :   </t>
  </si>
  <si>
    <t xml:space="preserve">Format billard :   </t>
  </si>
  <si>
    <t>Joueur 1</t>
  </si>
  <si>
    <t>Joueur 2</t>
  </si>
  <si>
    <t>N° match</t>
  </si>
  <si>
    <t>=  0 point</t>
  </si>
  <si>
    <t>Points classement acquis :</t>
  </si>
  <si>
    <t>Total des pts classement :</t>
  </si>
  <si>
    <r>
      <t xml:space="preserve">Points de </t>
    </r>
    <r>
      <rPr>
        <b/>
        <sz val="9"/>
        <color indexed="13"/>
        <rFont val="Arial Narrow"/>
        <family val="2"/>
      </rPr>
      <t>classement</t>
    </r>
    <r>
      <rPr>
        <b/>
        <sz val="8"/>
        <color indexed="9"/>
        <rFont val="Arial Narrow"/>
        <family val="2"/>
      </rPr>
      <t xml:space="preserve">
acquis avant ce tour</t>
    </r>
  </si>
  <si>
    <t>Joueur Blanc</t>
  </si>
  <si>
    <t>100560S</t>
  </si>
  <si>
    <t>017571V</t>
  </si>
  <si>
    <t>112270C</t>
  </si>
  <si>
    <t>017706A</t>
  </si>
  <si>
    <t>017629B</t>
  </si>
  <si>
    <t>137339H</t>
  </si>
  <si>
    <t>169239F</t>
  </si>
  <si>
    <t>152578W</t>
  </si>
  <si>
    <t>017658E</t>
  </si>
  <si>
    <t>017610I</t>
  </si>
  <si>
    <t>010634A</t>
  </si>
  <si>
    <t>018027J</t>
  </si>
  <si>
    <t>126208E</t>
  </si>
  <si>
    <t>145961X</t>
  </si>
  <si>
    <t>142307J</t>
  </si>
  <si>
    <t>106284W</t>
  </si>
  <si>
    <t>017476E</t>
  </si>
  <si>
    <t>017627Z</t>
  </si>
  <si>
    <t>145451H</t>
  </si>
  <si>
    <t>163172L</t>
  </si>
  <si>
    <t>136046O</t>
  </si>
  <si>
    <t>161710X</t>
  </si>
  <si>
    <t>168801E</t>
  </si>
  <si>
    <t>147667H</t>
  </si>
  <si>
    <t>017461P</t>
  </si>
  <si>
    <t>017687H</t>
  </si>
  <si>
    <t>152484T</t>
  </si>
  <si>
    <t>017653Z</t>
  </si>
  <si>
    <t>163902E</t>
  </si>
  <si>
    <t>166245B</t>
  </si>
  <si>
    <t>017614M</t>
  </si>
  <si>
    <t>169320T</t>
  </si>
  <si>
    <t>165970C</t>
  </si>
  <si>
    <t>153100N</t>
  </si>
  <si>
    <t>127747J</t>
  </si>
  <si>
    <t>169351C</t>
  </si>
  <si>
    <t>018043Z</t>
  </si>
  <si>
    <t>153309Q</t>
  </si>
  <si>
    <t>158108G</t>
  </si>
  <si>
    <t>126235F</t>
  </si>
  <si>
    <t>142932K</t>
  </si>
  <si>
    <t>156736Q</t>
  </si>
  <si>
    <t>017827R</t>
  </si>
  <si>
    <t>150068S</t>
  </si>
  <si>
    <t>017655B</t>
  </si>
  <si>
    <t>165969B</t>
  </si>
  <si>
    <t>118093B</t>
  </si>
  <si>
    <t>163598Z</t>
  </si>
  <si>
    <t>118084S</t>
  </si>
  <si>
    <t>155024E</t>
  </si>
  <si>
    <t>127143D</t>
  </si>
  <si>
    <t>017495X</t>
  </si>
  <si>
    <t>017478G</t>
  </si>
  <si>
    <t>149904P</t>
  </si>
  <si>
    <t>018141T</t>
  </si>
  <si>
    <t>017671R</t>
  </si>
  <si>
    <t>159676L</t>
  </si>
  <si>
    <t>018140S</t>
  </si>
  <si>
    <t>018005N</t>
  </si>
  <si>
    <t>166757H</t>
  </si>
  <si>
    <t>126237H</t>
  </si>
  <si>
    <t>ATTENTION   -   Saison 2019 / 2020</t>
  </si>
  <si>
    <r>
      <rPr>
        <i/>
        <u val="single"/>
        <sz val="10"/>
        <rFont val="Arial Narrow"/>
        <family val="2"/>
      </rPr>
      <t xml:space="preserve">Points de ranking </t>
    </r>
    <r>
      <rPr>
        <i/>
        <sz val="10"/>
        <rFont val="Arial Narrow"/>
        <family val="2"/>
      </rPr>
      <t xml:space="preserve">: </t>
    </r>
    <r>
      <rPr>
        <b/>
        <i/>
        <sz val="10"/>
        <rFont val="Arial Narrow"/>
        <family val="2"/>
      </rPr>
      <t>1</t>
    </r>
    <r>
      <rPr>
        <b/>
        <i/>
        <vertAlign val="superscript"/>
        <sz val="10"/>
        <rFont val="Arial Narrow"/>
        <family val="2"/>
      </rPr>
      <t>er</t>
    </r>
    <r>
      <rPr>
        <b/>
        <i/>
        <sz val="10"/>
        <rFont val="Arial Narrow"/>
        <family val="2"/>
      </rPr>
      <t xml:space="preserve"> = 22</t>
    </r>
    <r>
      <rPr>
        <i/>
        <sz val="10"/>
        <rFont val="Arial Narrow"/>
        <family val="2"/>
      </rPr>
      <t xml:space="preserve">   &amp;   </t>
    </r>
    <r>
      <rPr>
        <b/>
        <i/>
        <sz val="10"/>
        <rFont val="Arial Narrow"/>
        <family val="2"/>
      </rPr>
      <t>2</t>
    </r>
    <r>
      <rPr>
        <b/>
        <i/>
        <vertAlign val="superscript"/>
        <sz val="10"/>
        <rFont val="Arial Narrow"/>
        <family val="2"/>
      </rPr>
      <t>ème</t>
    </r>
    <r>
      <rPr>
        <b/>
        <i/>
        <sz val="10"/>
        <rFont val="Arial Narrow"/>
        <family val="2"/>
      </rPr>
      <t xml:space="preserve"> = 19</t>
    </r>
  </si>
  <si>
    <t>points inchangés pour les autres places</t>
  </si>
  <si>
    <r>
      <rPr>
        <i/>
        <u val="single"/>
        <sz val="10"/>
        <rFont val="Arial Narrow"/>
        <family val="2"/>
      </rPr>
      <t xml:space="preserve">Points de classement </t>
    </r>
    <r>
      <rPr>
        <i/>
        <sz val="10"/>
        <rFont val="Arial Narrow"/>
        <family val="2"/>
      </rPr>
      <t>= points de ranking + points de match</t>
    </r>
  </si>
  <si>
    <t>169557B</t>
  </si>
  <si>
    <t>164847G</t>
  </si>
  <si>
    <t>Rang :</t>
  </si>
  <si>
    <t>Points de match :</t>
  </si>
  <si>
    <t>013242I</t>
  </si>
  <si>
    <t>164248F</t>
  </si>
  <si>
    <t>172274E</t>
  </si>
  <si>
    <t>170827G</t>
  </si>
  <si>
    <t>126236G</t>
  </si>
  <si>
    <t>Comité Départemental de Billard de l'Eure</t>
  </si>
  <si>
    <t>CDBE   -   Tournoi qualificatif pour la finale de Ligue</t>
  </si>
  <si>
    <t>165041S</t>
  </si>
  <si>
    <t>163804Y</t>
  </si>
  <si>
    <t>148240F</t>
  </si>
  <si>
    <t>136045N</t>
  </si>
  <si>
    <t>169252V</t>
  </si>
  <si>
    <t>172881P</t>
  </si>
  <si>
    <t>173897T</t>
  </si>
  <si>
    <t>143287B</t>
  </si>
  <si>
    <t>144380C</t>
  </si>
  <si>
    <t>017872K</t>
  </si>
  <si>
    <t>168099R</t>
  </si>
  <si>
    <t>166710G</t>
  </si>
  <si>
    <t>168202D</t>
  </si>
  <si>
    <t>133469L</t>
  </si>
  <si>
    <t>133458A</t>
  </si>
  <si>
    <t>150883D</t>
  </si>
  <si>
    <t>169924A</t>
  </si>
  <si>
    <t>101636C</t>
  </si>
  <si>
    <t>173650A</t>
  </si>
  <si>
    <t>153670H</t>
  </si>
  <si>
    <t>152576T</t>
  </si>
  <si>
    <t>152577V</t>
  </si>
  <si>
    <t>149872E</t>
  </si>
  <si>
    <t>ALLIX GERARD</t>
  </si>
  <si>
    <t>ARRIVE JEAN LUC</t>
  </si>
  <si>
    <t>AZIZA WILLIAM</t>
  </si>
  <si>
    <t>177343P</t>
  </si>
  <si>
    <t>BAILLY NICOLAS</t>
  </si>
  <si>
    <t>129095F</t>
  </si>
  <si>
    <t>BARBIER JEAN LUC</t>
  </si>
  <si>
    <t>BARETTE ROMAIN</t>
  </si>
  <si>
    <t>BASSIERE JEAN PIERRE</t>
  </si>
  <si>
    <t>154338J</t>
  </si>
  <si>
    <t>BAUMANN CHRISTOPHE</t>
  </si>
  <si>
    <t>175534Y</t>
  </si>
  <si>
    <t>BAUX REGIS</t>
  </si>
  <si>
    <t>BELDAME DANIEL</t>
  </si>
  <si>
    <t>BELINY GILLES</t>
  </si>
  <si>
    <t>BETON DOMINIQUE</t>
  </si>
  <si>
    <t>BEZARD GEORGES</t>
  </si>
  <si>
    <t>BEZNOSUC MARIE JOSE</t>
  </si>
  <si>
    <t>BILLIET HERVE</t>
  </si>
  <si>
    <t>177710N</t>
  </si>
  <si>
    <t>BOCOGNANO PHILIPPE</t>
  </si>
  <si>
    <t>177952B</t>
  </si>
  <si>
    <t>BOUCHER ERIC</t>
  </si>
  <si>
    <t>176404T</t>
  </si>
  <si>
    <t>BOULIER ALAIN</t>
  </si>
  <si>
    <t>BOURDON PASCAL</t>
  </si>
  <si>
    <t>162365J</t>
  </si>
  <si>
    <t>BRENOT REYNALD</t>
  </si>
  <si>
    <t>177953C</t>
  </si>
  <si>
    <t>BRULARD DANIEL</t>
  </si>
  <si>
    <t>BUTELET JEAN PAUL</t>
  </si>
  <si>
    <t>CAJEAN PHILIPPE</t>
  </si>
  <si>
    <t>CHALVET PATRICE</t>
  </si>
  <si>
    <t>CHARQUET GUY</t>
  </si>
  <si>
    <t>170854L</t>
  </si>
  <si>
    <t>CHEVALIER PHILIPPE</t>
  </si>
  <si>
    <t>CHOLLET LIONEL</t>
  </si>
  <si>
    <t>107240Q</t>
  </si>
  <si>
    <t>CLAVARINO JOCELYNE</t>
  </si>
  <si>
    <t>175709N</t>
  </si>
  <si>
    <t>COCHARD PATRICK</t>
  </si>
  <si>
    <t>COLIN ERIC</t>
  </si>
  <si>
    <t>176769Q</t>
  </si>
  <si>
    <t>COLIN GUY</t>
  </si>
  <si>
    <t>111081J</t>
  </si>
  <si>
    <t>CORNO YVES</t>
  </si>
  <si>
    <t>DALUZEAU DOMINIQUE</t>
  </si>
  <si>
    <t>166465Q</t>
  </si>
  <si>
    <t>DAUFRENE JOSE</t>
  </si>
  <si>
    <t>177646T</t>
  </si>
  <si>
    <t>DAUTRY ANNICK</t>
  </si>
  <si>
    <t>DAZY GAELLE</t>
  </si>
  <si>
    <t>177691S</t>
  </si>
  <si>
    <t>DAZY RODOLPHE</t>
  </si>
  <si>
    <t>177690R</t>
  </si>
  <si>
    <t>DE TOFFOLI JEAN ANTOINE</t>
  </si>
  <si>
    <t>DELAPORTE FELIX</t>
  </si>
  <si>
    <t>DELARUE GILLES</t>
  </si>
  <si>
    <t>DESHERAUD RAYMOND</t>
  </si>
  <si>
    <t>DESIL ERIC</t>
  </si>
  <si>
    <t>DEZETANT MARCEL</t>
  </si>
  <si>
    <t>DI TOMMASO HERVE</t>
  </si>
  <si>
    <t>169323X</t>
  </si>
  <si>
    <t>DUCROCQ DIDIER</t>
  </si>
  <si>
    <t>DUGUET DIDIER</t>
  </si>
  <si>
    <t>DUMARTIN BERTRAND</t>
  </si>
  <si>
    <t>DUMOND PIERRE</t>
  </si>
  <si>
    <t>DUMONTROTY DOMINIQUE</t>
  </si>
  <si>
    <t>177648W</t>
  </si>
  <si>
    <t>DUONG KHENN</t>
  </si>
  <si>
    <t>FERRON JEAN MARC</t>
  </si>
  <si>
    <t>FORT JEAN JACQUES</t>
  </si>
  <si>
    <t>176496T</t>
  </si>
  <si>
    <t>FOSSEY MATHIEU</t>
  </si>
  <si>
    <t>GARIN DAVET PHILIPPE</t>
  </si>
  <si>
    <t>176031N</t>
  </si>
  <si>
    <t>GARREAU CYRIL</t>
  </si>
  <si>
    <t>GERMAIN CYRILLE</t>
  </si>
  <si>
    <t>GEYER SERGE</t>
  </si>
  <si>
    <t>GIBERT PATRICK</t>
  </si>
  <si>
    <t>170222Z</t>
  </si>
  <si>
    <t>GIBON HUBERT</t>
  </si>
  <si>
    <t>118079N</t>
  </si>
  <si>
    <t>GILLOT MARCEL</t>
  </si>
  <si>
    <t>GOURSAUD JEAN CLAUDE</t>
  </si>
  <si>
    <t>GRICOURT MARCEL</t>
  </si>
  <si>
    <t>GUILLEMETTE PHILIPPE</t>
  </si>
  <si>
    <t>177715T</t>
  </si>
  <si>
    <t>GUYADER ERWAN</t>
  </si>
  <si>
    <t>GUYADER GAEL</t>
  </si>
  <si>
    <t>HABRAN JEAN PIERRE</t>
  </si>
  <si>
    <t>HONG PHI BANG</t>
  </si>
  <si>
    <t>HUE JACQUES</t>
  </si>
  <si>
    <t>175355D</t>
  </si>
  <si>
    <t>HUGER MICHEL</t>
  </si>
  <si>
    <t>INTROLIGATOR GILLES</t>
  </si>
  <si>
    <t>LAMBERT PHILIPPE</t>
  </si>
  <si>
    <t>177096W</t>
  </si>
  <si>
    <t>LE BIHAN CASSANDRE</t>
  </si>
  <si>
    <t>175632E</t>
  </si>
  <si>
    <t>LE CAER THIERRY</t>
  </si>
  <si>
    <t>129144C</t>
  </si>
  <si>
    <t>LE LAY SYLVAIN</t>
  </si>
  <si>
    <t>017563N</t>
  </si>
  <si>
    <t>LEBOURGEOIS PHILIPPE</t>
  </si>
  <si>
    <t>017763F</t>
  </si>
  <si>
    <t>LEBRAS PHILIPPE</t>
  </si>
  <si>
    <t>LECANU JEAN MARC</t>
  </si>
  <si>
    <t>LECLERC MARC</t>
  </si>
  <si>
    <t>LEFEVRE CHRISTOPHE</t>
  </si>
  <si>
    <t>100535T</t>
  </si>
  <si>
    <t>LEGRAND PATRICK</t>
  </si>
  <si>
    <t>LEGRAND PHILIPPE</t>
  </si>
  <si>
    <t>166852L</t>
  </si>
  <si>
    <t>LEHMANN ANDRE</t>
  </si>
  <si>
    <t>LELEVRIER MICHEL</t>
  </si>
  <si>
    <t>LEMOIGNE PIERRE</t>
  </si>
  <si>
    <t>LENOIR JEAN MARC</t>
  </si>
  <si>
    <t>LEPRETRE BERNARD</t>
  </si>
  <si>
    <t>LEROI JEAN CLAUDE</t>
  </si>
  <si>
    <t>147405Y</t>
  </si>
  <si>
    <t>LETELLIER GILLES</t>
  </si>
  <si>
    <t>LETOURNEUR ALAIN</t>
  </si>
  <si>
    <t>LHEUREUX RICHARD</t>
  </si>
  <si>
    <t>MAGNAN JEAN LUC</t>
  </si>
  <si>
    <t>MALLET PHILIPPE</t>
  </si>
  <si>
    <t>MARCHAND YOHANN</t>
  </si>
  <si>
    <t>177982J</t>
  </si>
  <si>
    <t>MARTINEAU PATRICE</t>
  </si>
  <si>
    <t>169560E</t>
  </si>
  <si>
    <t>MARY JEAN CLAUDE</t>
  </si>
  <si>
    <t>MASSON JEAN PIERRE</t>
  </si>
  <si>
    <t>MATEOS RAYMOND</t>
  </si>
  <si>
    <t>MAUCOLIN JORDANE</t>
  </si>
  <si>
    <t>176207E</t>
  </si>
  <si>
    <t>MAULIEN AXEL</t>
  </si>
  <si>
    <t>MAURO MICHEL</t>
  </si>
  <si>
    <t>176215N</t>
  </si>
  <si>
    <t>MICHAULT MARC</t>
  </si>
  <si>
    <t>163171K</t>
  </si>
  <si>
    <t>MOREL FRANCIS</t>
  </si>
  <si>
    <t>MOTTEAU LAURENT</t>
  </si>
  <si>
    <t>MOUSSART MICHEL</t>
  </si>
  <si>
    <t>166997T</t>
  </si>
  <si>
    <t>NOWAK MICHAEL</t>
  </si>
  <si>
    <t>PAJON MARIE PIERRE</t>
  </si>
  <si>
    <t>PAPI FABRICE</t>
  </si>
  <si>
    <t>176494R</t>
  </si>
  <si>
    <t>PARENT ALAIN</t>
  </si>
  <si>
    <t>PATRICE BERNARD</t>
  </si>
  <si>
    <t>PETITGRAND CLAUDE</t>
  </si>
  <si>
    <t>PICARD ANDRE</t>
  </si>
  <si>
    <t>148806W</t>
  </si>
  <si>
    <t>PRIEUR SEBASTIEN</t>
  </si>
  <si>
    <t>QUEREY ANDRE</t>
  </si>
  <si>
    <t>REIBAUD JEAN PAUL</t>
  </si>
  <si>
    <t>REICHSTADT ERIC</t>
  </si>
  <si>
    <t>RICHARD JEAN JACQUES</t>
  </si>
  <si>
    <t>177480N</t>
  </si>
  <si>
    <t>RIPOLL JEAN YVES</t>
  </si>
  <si>
    <t>RIQUOIS ALAIN</t>
  </si>
  <si>
    <t>177961L</t>
  </si>
  <si>
    <t>ROBERT PIERRE</t>
  </si>
  <si>
    <t>134861Z</t>
  </si>
  <si>
    <t>RODRIGUEZ JACQUES</t>
  </si>
  <si>
    <t>177951A</t>
  </si>
  <si>
    <t>RONDU JACQUES</t>
  </si>
  <si>
    <t>ROQUIGNY REMY</t>
  </si>
  <si>
    <t>ROUILLARD MATHIAS</t>
  </si>
  <si>
    <t>176768P</t>
  </si>
  <si>
    <t>ROUSSET JEAN PAUL</t>
  </si>
  <si>
    <t>SAMSON RONALD</t>
  </si>
  <si>
    <t>SANNIER SERGE</t>
  </si>
  <si>
    <t>017829T</t>
  </si>
  <si>
    <t>SCHMITT CLAUDE</t>
  </si>
  <si>
    <t>SCHWARTZ ALAIN</t>
  </si>
  <si>
    <t>SMITH HELENE</t>
  </si>
  <si>
    <t>SMITH LOUIS</t>
  </si>
  <si>
    <t>STAIGRE JEROME</t>
  </si>
  <si>
    <t>TETELAIN DOMINIQUE</t>
  </si>
  <si>
    <t>174813P</t>
  </si>
  <si>
    <t>THUILLIER JEAN CLAUDE</t>
  </si>
  <si>
    <t>TOUTAIN REMI</t>
  </si>
  <si>
    <t>TREHET SERGE</t>
  </si>
  <si>
    <t>VELLA PIERRE</t>
  </si>
  <si>
    <t>152825P</t>
  </si>
  <si>
    <t>VIGNE PIERRE</t>
  </si>
  <si>
    <t>VINCENT DANIEL</t>
  </si>
  <si>
    <t>VUILLEQUEY GEORGES</t>
  </si>
  <si>
    <t>WATRIQUANT PHILIPPE</t>
  </si>
  <si>
    <t>WILLEMYNS JACK</t>
  </si>
  <si>
    <t>ZELLOU HOSSINE</t>
  </si>
  <si>
    <t>172716K</t>
  </si>
  <si>
    <t>ANDRIEU GILLES</t>
  </si>
  <si>
    <t>178612T</t>
  </si>
  <si>
    <t>ANTEM ANTOINE</t>
  </si>
  <si>
    <t>017606E</t>
  </si>
  <si>
    <t>BAZIN PATRICK</t>
  </si>
  <si>
    <t>174964D</t>
  </si>
  <si>
    <t>BORDET RICHARD</t>
  </si>
  <si>
    <t>178635T</t>
  </si>
  <si>
    <t>BRIQUET MCHELLE</t>
  </si>
  <si>
    <t>178664A</t>
  </si>
  <si>
    <t>BUCHET ISABELLE</t>
  </si>
  <si>
    <t>173097Z</t>
  </si>
  <si>
    <t>CADORIN NATHALIE</t>
  </si>
  <si>
    <t>177445A</t>
  </si>
  <si>
    <t>CAREYE DANIEL</t>
  </si>
  <si>
    <t>137983B</t>
  </si>
  <si>
    <t>CASSE DENIS</t>
  </si>
  <si>
    <t>177713R</t>
  </si>
  <si>
    <t>CASSE TIMOTHEE</t>
  </si>
  <si>
    <t>177714S</t>
  </si>
  <si>
    <t>CAVET SERGE</t>
  </si>
  <si>
    <t>175449F</t>
  </si>
  <si>
    <t>COURTOUX NORA</t>
  </si>
  <si>
    <t>177732M</t>
  </si>
  <si>
    <t>CUDORGE GAEL</t>
  </si>
  <si>
    <t>175247L</t>
  </si>
  <si>
    <t>DELAIR LAURENT</t>
  </si>
  <si>
    <t>176405V</t>
  </si>
  <si>
    <t>DELALONDRE MAX</t>
  </si>
  <si>
    <t>110690I</t>
  </si>
  <si>
    <t>DELAMARRE ERIC</t>
  </si>
  <si>
    <t>129114Y</t>
  </si>
  <si>
    <t>DELOBEL FREDERIC</t>
  </si>
  <si>
    <t>126193P</t>
  </si>
  <si>
    <t>DEMARCY WILLIAM</t>
  </si>
  <si>
    <t>145380O</t>
  </si>
  <si>
    <t>DOLLET REMY</t>
  </si>
  <si>
    <t>176567W</t>
  </si>
  <si>
    <t>DOUTRELIGNE JAMES</t>
  </si>
  <si>
    <t>177345R</t>
  </si>
  <si>
    <t>DROUARD ERIC</t>
  </si>
  <si>
    <t>179085H</t>
  </si>
  <si>
    <t>DROUARD MATEO</t>
  </si>
  <si>
    <t>179084G</t>
  </si>
  <si>
    <t>DUBREUIL MICHEL</t>
  </si>
  <si>
    <t>156963M</t>
  </si>
  <si>
    <t>DUCASSE FREDERIC</t>
  </si>
  <si>
    <t>177347T</t>
  </si>
  <si>
    <t>DUCROCQ MICKAEL</t>
  </si>
  <si>
    <t>145450G</t>
  </si>
  <si>
    <t>DUMOUCHEL BERTRAND</t>
  </si>
  <si>
    <t>166914D</t>
  </si>
  <si>
    <t>DUPONCHELLE YVON</t>
  </si>
  <si>
    <t>160784Q</t>
  </si>
  <si>
    <t>DUVAL LUDOVIC</t>
  </si>
  <si>
    <t>159869W</t>
  </si>
  <si>
    <t>EUDELINE MICHEL</t>
  </si>
  <si>
    <t>017479H</t>
  </si>
  <si>
    <t>EUGENE GUY</t>
  </si>
  <si>
    <t>172737H</t>
  </si>
  <si>
    <t>EVDOKIMOFF SERGE</t>
  </si>
  <si>
    <t>178353M</t>
  </si>
  <si>
    <t>EVRARD JAMES</t>
  </si>
  <si>
    <t>157076K</t>
  </si>
  <si>
    <t>FAURE MICHEL</t>
  </si>
  <si>
    <t>175986P</t>
  </si>
  <si>
    <t>FENOUILLET FLORENCE</t>
  </si>
  <si>
    <t>176251C</t>
  </si>
  <si>
    <t>GAUTHERON ALAIN</t>
  </si>
  <si>
    <t>165323Z</t>
  </si>
  <si>
    <t>GOULAMOUGAIDINE BASIAH</t>
  </si>
  <si>
    <t>129090A</t>
  </si>
  <si>
    <t>HAIN PATRICK</t>
  </si>
  <si>
    <t>178354N</t>
  </si>
  <si>
    <t>HEMPEL JEAN</t>
  </si>
  <si>
    <t>017748Q</t>
  </si>
  <si>
    <t>KENZEY PATRICK</t>
  </si>
  <si>
    <t>017485N</t>
  </si>
  <si>
    <t>LAMBERT MARC</t>
  </si>
  <si>
    <t>169569P</t>
  </si>
  <si>
    <t>LECORNE LAURENT</t>
  </si>
  <si>
    <t>171962Q</t>
  </si>
  <si>
    <t>LEROY MATHIEU</t>
  </si>
  <si>
    <t>178114C</t>
  </si>
  <si>
    <t>LING BENJAMIN</t>
  </si>
  <si>
    <t>162981D</t>
  </si>
  <si>
    <t>MARGUERIE CLEMENT</t>
  </si>
  <si>
    <t>179086J</t>
  </si>
  <si>
    <t>MATHIEU DOMINIQUE</t>
  </si>
  <si>
    <t>179083F</t>
  </si>
  <si>
    <t>MAZZOLI ALBERTO TONI</t>
  </si>
  <si>
    <t>175708M</t>
  </si>
  <si>
    <t>METAIS DIDIER</t>
  </si>
  <si>
    <t>176495S</t>
  </si>
  <si>
    <t>MEURANT DOMINIQUE</t>
  </si>
  <si>
    <t>178815P</t>
  </si>
  <si>
    <t>MIRKOVIC MICHEL</t>
  </si>
  <si>
    <t>147085A</t>
  </si>
  <si>
    <t>MOREL CHRISTIAN</t>
  </si>
  <si>
    <t>172880N</t>
  </si>
  <si>
    <t>NOEL THIERRY</t>
  </si>
  <si>
    <t>175153J</t>
  </si>
  <si>
    <t>OLIVIER ANNIE</t>
  </si>
  <si>
    <t>179208R</t>
  </si>
  <si>
    <t>PAGE SEBASTIEN</t>
  </si>
  <si>
    <t>178614W</t>
  </si>
  <si>
    <t>PARMENTIER FRANC</t>
  </si>
  <si>
    <t>017477F</t>
  </si>
  <si>
    <t>PELFRENE ANTHONY</t>
  </si>
  <si>
    <t>178437D</t>
  </si>
  <si>
    <t>PELFRENE JEAN LUC</t>
  </si>
  <si>
    <t>175907D</t>
  </si>
  <si>
    <t>PETIT PASCAL</t>
  </si>
  <si>
    <t>178865T</t>
  </si>
  <si>
    <t>RAMIREZ GEORGES</t>
  </si>
  <si>
    <t>178281J</t>
  </si>
  <si>
    <t>RENVOISE JEAN MICHEL</t>
  </si>
  <si>
    <t>142473T</t>
  </si>
  <si>
    <t>RIGUET PATRICK</t>
  </si>
  <si>
    <t>173896S</t>
  </si>
  <si>
    <t>ROUGIER JACQUES</t>
  </si>
  <si>
    <t>162980C</t>
  </si>
  <si>
    <t>TILLON YVES</t>
  </si>
  <si>
    <t>153297C</t>
  </si>
  <si>
    <t>TURPIN DOMINIQUE</t>
  </si>
  <si>
    <t>169854Z</t>
  </si>
  <si>
    <t>TY JOSHUA</t>
  </si>
  <si>
    <t>161122H</t>
  </si>
  <si>
    <t>VISIEDO GABRIEL</t>
  </si>
  <si>
    <t>174306N</t>
  </si>
  <si>
    <t>VIVES PASCAL</t>
  </si>
  <si>
    <t>174310S</t>
  </si>
  <si>
    <t>WEIPPERT MARC</t>
  </si>
  <si>
    <t>148239E</t>
  </si>
  <si>
    <r>
      <t>Version :</t>
    </r>
    <r>
      <rPr>
        <b/>
        <sz val="12"/>
        <color indexed="10"/>
        <rFont val="Arial Narrow"/>
        <family val="2"/>
      </rPr>
      <t xml:space="preserve"> 3.0</t>
    </r>
    <r>
      <rPr>
        <b/>
        <sz val="12"/>
        <rFont val="Arial Narrow"/>
        <family val="2"/>
      </rPr>
      <t xml:space="preserve">
du :</t>
    </r>
    <r>
      <rPr>
        <b/>
        <sz val="12"/>
        <color indexed="10"/>
        <rFont val="Arial Narrow"/>
        <family val="2"/>
      </rPr>
      <t xml:space="preserve"> 31/10/2022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</si>
</sst>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\ mmmm\ yyyy"/>
    <numFmt numFmtId="175" formatCode="0.000"/>
    <numFmt numFmtId="176" formatCode="[$-40C]dddd\ d\ mmmm\ yyyy"/>
    <numFmt numFmtId="177" formatCode="[$-40C]d\ mmmm\ yyyy;@"/>
    <numFmt numFmtId="178" formatCode="[$-F800]dddd\,\ mmmm\ dd\,\ yyyy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147">
    <font>
      <sz val="10"/>
      <name val="Times New Roman"/>
      <family val="0"/>
    </font>
    <font>
      <sz val="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10"/>
      <color indexed="12"/>
      <name val="Arial Narrow"/>
      <family val="2"/>
    </font>
    <font>
      <b/>
      <sz val="12"/>
      <color indexed="12"/>
      <name val="Arial Narrow"/>
      <family val="2"/>
    </font>
    <font>
      <b/>
      <u val="single"/>
      <sz val="10"/>
      <color indexed="16"/>
      <name val="Arial Narrow"/>
      <family val="2"/>
    </font>
    <font>
      <b/>
      <u val="single"/>
      <sz val="10"/>
      <color indexed="10"/>
      <name val="Arial Narrow"/>
      <family val="2"/>
    </font>
    <font>
      <sz val="8"/>
      <color indexed="9"/>
      <name val="Arial Narrow"/>
      <family val="2"/>
    </font>
    <font>
      <b/>
      <sz val="10"/>
      <color indexed="44"/>
      <name val="Arial Narrow"/>
      <family val="2"/>
    </font>
    <font>
      <b/>
      <sz val="10"/>
      <color indexed="22"/>
      <name val="Arial Narrow"/>
      <family val="2"/>
    </font>
    <font>
      <b/>
      <sz val="10"/>
      <color indexed="4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name val="Tahoma"/>
      <family val="2"/>
    </font>
    <font>
      <b/>
      <sz val="11"/>
      <color indexed="12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18"/>
      <name val="Arial Narrow"/>
      <family val="2"/>
    </font>
    <font>
      <vertAlign val="superscript"/>
      <sz val="9"/>
      <name val="Arial Narrow"/>
      <family val="2"/>
    </font>
    <font>
      <b/>
      <u val="single"/>
      <sz val="10"/>
      <name val="Arial Narrow"/>
      <family val="2"/>
    </font>
    <font>
      <b/>
      <sz val="24"/>
      <name val="Arial Narrow"/>
      <family val="2"/>
    </font>
    <font>
      <b/>
      <sz val="12"/>
      <color indexed="9"/>
      <name val="Arial Narrow"/>
      <family val="2"/>
    </font>
    <font>
      <sz val="8.5"/>
      <name val="Arial Narrow"/>
      <family val="2"/>
    </font>
    <font>
      <b/>
      <i/>
      <u val="single"/>
      <sz val="11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4"/>
      <name val="Arial Narrow"/>
      <family val="2"/>
    </font>
    <font>
      <sz val="14"/>
      <color indexed="9"/>
      <name val="Arial Narrow"/>
      <family val="2"/>
    </font>
    <font>
      <sz val="14"/>
      <color indexed="12"/>
      <name val="Arial Narrow"/>
      <family val="2"/>
    </font>
    <font>
      <b/>
      <u val="single"/>
      <sz val="9"/>
      <name val="Arial Narrow"/>
      <family val="2"/>
    </font>
    <font>
      <u val="single"/>
      <sz val="9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28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b/>
      <i/>
      <sz val="11"/>
      <color indexed="10"/>
      <name val="Arial Narrow"/>
      <family val="2"/>
    </font>
    <font>
      <b/>
      <i/>
      <u val="single"/>
      <sz val="11"/>
      <color indexed="10"/>
      <name val="Arial Narrow"/>
      <family val="2"/>
    </font>
    <font>
      <b/>
      <u val="single"/>
      <sz val="18"/>
      <color indexed="13"/>
      <name val="Arial Narrow"/>
      <family val="2"/>
    </font>
    <font>
      <sz val="12"/>
      <name val="Arial Narrow"/>
      <family val="2"/>
    </font>
    <font>
      <u val="single"/>
      <sz val="10"/>
      <name val="Arial Narrow"/>
      <family val="2"/>
    </font>
    <font>
      <b/>
      <sz val="9"/>
      <color indexed="10"/>
      <name val="Arial Narrow"/>
      <family val="2"/>
    </font>
    <font>
      <b/>
      <sz val="20"/>
      <name val="Arial Narrow"/>
      <family val="2"/>
    </font>
    <font>
      <b/>
      <sz val="14"/>
      <name val="Arial Narrow"/>
      <family val="2"/>
    </font>
    <font>
      <b/>
      <sz val="36"/>
      <name val="Stencil"/>
      <family val="5"/>
    </font>
    <font>
      <b/>
      <sz val="18"/>
      <color indexed="13"/>
      <name val="Arial Narrow"/>
      <family val="2"/>
    </font>
    <font>
      <i/>
      <sz val="10"/>
      <name val="Arial Narrow"/>
      <family val="2"/>
    </font>
    <font>
      <b/>
      <sz val="11"/>
      <color indexed="9"/>
      <name val="Arial Narrow"/>
      <family val="2"/>
    </font>
    <font>
      <i/>
      <sz val="12"/>
      <name val="Arial Narrow"/>
      <family val="2"/>
    </font>
    <font>
      <b/>
      <u val="single"/>
      <sz val="12"/>
      <name val="Arial Narrow"/>
      <family val="2"/>
    </font>
    <font>
      <b/>
      <i/>
      <sz val="12"/>
      <name val="Arial Narrow"/>
      <family val="2"/>
    </font>
    <font>
      <b/>
      <u val="single"/>
      <sz val="18"/>
      <name val="Arial Narrow"/>
      <family val="2"/>
    </font>
    <font>
      <b/>
      <sz val="9"/>
      <color indexed="13"/>
      <name val="Arial Narrow"/>
      <family val="2"/>
    </font>
    <font>
      <b/>
      <sz val="12"/>
      <color indexed="10"/>
      <name val="Arial Narrow"/>
      <family val="2"/>
    </font>
    <font>
      <sz val="8"/>
      <name val="Segoe UI"/>
      <family val="2"/>
    </font>
    <font>
      <i/>
      <u val="single"/>
      <sz val="10"/>
      <name val="Arial Narrow"/>
      <family val="2"/>
    </font>
    <font>
      <b/>
      <i/>
      <sz val="10"/>
      <name val="Arial Narrow"/>
      <family val="2"/>
    </font>
    <font>
      <b/>
      <i/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9"/>
      <name val="Arial Narrow"/>
      <family val="2"/>
    </font>
    <font>
      <b/>
      <sz val="11"/>
      <color indexed="27"/>
      <name val="Arial Narrow"/>
      <family val="2"/>
    </font>
    <font>
      <b/>
      <sz val="12"/>
      <color indexed="13"/>
      <name val="Arial Narrow"/>
      <family val="2"/>
    </font>
    <font>
      <b/>
      <sz val="12"/>
      <color indexed="30"/>
      <name val="Arial Narrow"/>
      <family val="2"/>
    </font>
    <font>
      <sz val="10"/>
      <color indexed="52"/>
      <name val="Arial Narrow"/>
      <family val="2"/>
    </font>
    <font>
      <sz val="8"/>
      <color indexed="52"/>
      <name val="Arial Narrow"/>
      <family val="2"/>
    </font>
    <font>
      <sz val="9"/>
      <color indexed="52"/>
      <name val="Arial Narrow"/>
      <family val="2"/>
    </font>
    <font>
      <b/>
      <sz val="10"/>
      <color indexed="45"/>
      <name val="Arial Narrow"/>
      <family val="2"/>
    </font>
    <font>
      <i/>
      <sz val="7"/>
      <color indexed="52"/>
      <name val="Arial Narrow"/>
      <family val="2"/>
    </font>
    <font>
      <sz val="8"/>
      <color indexed="10"/>
      <name val="Arial Narrow"/>
      <family val="2"/>
    </font>
    <font>
      <b/>
      <u val="single"/>
      <sz val="10"/>
      <color indexed="52"/>
      <name val="Arial Narrow"/>
      <family val="2"/>
    </font>
    <font>
      <b/>
      <i/>
      <sz val="12"/>
      <color indexed="12"/>
      <name val="Arial Narrow"/>
      <family val="2"/>
    </font>
    <font>
      <b/>
      <sz val="24"/>
      <color indexed="12"/>
      <name val="Arial Narrow"/>
      <family val="2"/>
    </font>
    <font>
      <b/>
      <i/>
      <sz val="10"/>
      <color indexed="13"/>
      <name val="Arial Narrow"/>
      <family val="2"/>
    </font>
    <font>
      <b/>
      <sz val="12"/>
      <color indexed="57"/>
      <name val="Arial Narrow"/>
      <family val="2"/>
    </font>
    <font>
      <i/>
      <sz val="10"/>
      <color indexed="9"/>
      <name val="Arial Narrow"/>
      <family val="2"/>
    </font>
    <font>
      <b/>
      <sz val="14"/>
      <color indexed="12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0"/>
      <name val="Arial Narrow"/>
      <family val="2"/>
    </font>
    <font>
      <b/>
      <sz val="11"/>
      <color rgb="FFCCFFFF"/>
      <name val="Arial Narrow"/>
      <family val="2"/>
    </font>
    <font>
      <b/>
      <sz val="12"/>
      <color rgb="FFFFFF00"/>
      <name val="Arial Narrow"/>
      <family val="2"/>
    </font>
    <font>
      <b/>
      <sz val="12"/>
      <color rgb="FF0033CC"/>
      <name val="Arial Narrow"/>
      <family val="2"/>
    </font>
    <font>
      <sz val="10"/>
      <color theme="9" tint="0.39998000860214233"/>
      <name val="Arial Narrow"/>
      <family val="2"/>
    </font>
    <font>
      <sz val="8"/>
      <color theme="9" tint="0.39998000860214233"/>
      <name val="Arial Narrow"/>
      <family val="2"/>
    </font>
    <font>
      <sz val="9"/>
      <color theme="9" tint="0.39998000860214233"/>
      <name val="Arial Narrow"/>
      <family val="2"/>
    </font>
    <font>
      <b/>
      <sz val="10"/>
      <color rgb="FFFF99FF"/>
      <name val="Arial Narrow"/>
      <family val="2"/>
    </font>
    <font>
      <i/>
      <sz val="7"/>
      <color theme="9" tint="0.39998000860214233"/>
      <name val="Arial Narrow"/>
      <family val="2"/>
    </font>
    <font>
      <sz val="8"/>
      <color rgb="FFFF0000"/>
      <name val="Arial Narrow"/>
      <family val="2"/>
    </font>
    <font>
      <sz val="9"/>
      <color theme="9" tint="0.3999499976634979"/>
      <name val="Arial Narrow"/>
      <family val="2"/>
    </font>
    <font>
      <sz val="8"/>
      <color theme="9" tint="0.3999499976634979"/>
      <name val="Arial Narrow"/>
      <family val="2"/>
    </font>
    <font>
      <sz val="10"/>
      <color theme="9" tint="0.3999499976634979"/>
      <name val="Arial Narrow"/>
      <family val="2"/>
    </font>
    <font>
      <b/>
      <u val="single"/>
      <sz val="10"/>
      <color theme="9" tint="0.3999499976634979"/>
      <name val="Arial Narrow"/>
      <family val="2"/>
    </font>
    <font>
      <b/>
      <sz val="10"/>
      <color rgb="FF0000FF"/>
      <name val="Arial Narrow"/>
      <family val="2"/>
    </font>
    <font>
      <b/>
      <i/>
      <sz val="12"/>
      <color rgb="FF0000FF"/>
      <name val="Arial Narrow"/>
      <family val="2"/>
    </font>
    <font>
      <b/>
      <i/>
      <sz val="11"/>
      <color rgb="FFFF0000"/>
      <name val="Arial Narrow"/>
      <family val="2"/>
    </font>
    <font>
      <b/>
      <i/>
      <u val="single"/>
      <sz val="11"/>
      <color rgb="FFFF0000"/>
      <name val="Arial Narrow"/>
      <family val="2"/>
    </font>
    <font>
      <b/>
      <sz val="24"/>
      <color rgb="FF0000CC"/>
      <name val="Arial Narrow"/>
      <family val="2"/>
    </font>
    <font>
      <b/>
      <i/>
      <sz val="10"/>
      <color rgb="FFFFFF00"/>
      <name val="Arial Narrow"/>
      <family val="2"/>
    </font>
    <font>
      <b/>
      <sz val="12"/>
      <color rgb="FF339966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i/>
      <sz val="10"/>
      <color theme="0"/>
      <name val="Arial Narrow"/>
      <family val="2"/>
    </font>
    <font>
      <b/>
      <sz val="12"/>
      <color rgb="FF0000FF"/>
      <name val="Arial Narrow"/>
      <family val="2"/>
    </font>
    <font>
      <b/>
      <sz val="8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9" tint="0.399949997663497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FFFF00"/>
      </left>
      <right style="thin">
        <color rgb="FFFFFF00"/>
      </right>
      <top style="thin"/>
      <bottom style="thin"/>
    </border>
    <border>
      <left style="thin">
        <color rgb="FFFFFF0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>
        <color indexed="63"/>
      </top>
      <bottom style="thin"/>
    </border>
    <border>
      <left style="medium"/>
      <right style="medium"/>
      <top style="medium"/>
      <bottom style="thin">
        <color theme="0"/>
      </bottom>
    </border>
    <border>
      <left style="medium"/>
      <right style="medium"/>
      <top style="thin">
        <color theme="0"/>
      </top>
      <bottom style="thin">
        <color theme="0"/>
      </bottom>
    </border>
    <border>
      <left style="medium"/>
      <right style="medium"/>
      <top style="thin">
        <color theme="0"/>
      </top>
      <bottom style="medium"/>
    </border>
    <border>
      <left style="medium"/>
      <right style="thin">
        <color theme="0"/>
      </right>
      <top style="medium"/>
      <bottom style="medium"/>
    </border>
    <border>
      <left style="thin">
        <color theme="0"/>
      </left>
      <right style="thin">
        <color theme="0"/>
      </right>
      <top style="medium"/>
      <bottom style="medium"/>
    </border>
    <border>
      <left style="thin">
        <color theme="0"/>
      </left>
      <right style="medium"/>
      <top style="medium"/>
      <bottom style="medium"/>
    </border>
    <border>
      <left>
        <color indexed="63"/>
      </left>
      <right style="thin">
        <color theme="0"/>
      </right>
      <top style="medium"/>
      <bottom style="medium"/>
    </border>
    <border>
      <left style="thin"/>
      <right style="thin">
        <color rgb="FFFFFF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>
        <color rgb="FFFF0000"/>
      </right>
      <top style="thin"/>
      <bottom>
        <color indexed="63"/>
      </bottom>
    </border>
    <border>
      <left style="thin"/>
      <right style="thin">
        <color rgb="FFFF0000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FF"/>
      </left>
      <right>
        <color indexed="63"/>
      </right>
      <top style="medium">
        <color rgb="FF0000FF"/>
      </top>
      <bottom style="medium">
        <color rgb="FF0000FF"/>
      </bottom>
    </border>
    <border>
      <left>
        <color indexed="63"/>
      </left>
      <right>
        <color indexed="63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26" borderId="1" applyNumberFormat="0" applyAlignment="0" applyProtection="0"/>
    <xf numFmtId="0" fontId="106" fillId="0" borderId="2" applyNumberFormat="0" applyFill="0" applyAlignment="0" applyProtection="0"/>
    <xf numFmtId="0" fontId="107" fillId="27" borderId="1" applyNumberFormat="0" applyAlignment="0" applyProtection="0"/>
    <xf numFmtId="0" fontId="108" fillId="28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113" fillId="26" borderId="4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5" applyNumberFormat="0" applyFill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8" applyNumberFormat="0" applyFill="0" applyAlignment="0" applyProtection="0"/>
    <xf numFmtId="0" fontId="120" fillId="32" borderId="9" applyNumberFormat="0" applyAlignment="0" applyProtection="0"/>
  </cellStyleXfs>
  <cellXfs count="42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 textRotation="90" shrinkToFit="1"/>
      <protection/>
    </xf>
    <xf numFmtId="0" fontId="2" fillId="34" borderId="0" xfId="0" applyFont="1" applyFill="1" applyAlignment="1" applyProtection="1">
      <alignment horizontal="center" vertical="center" textRotation="180"/>
      <protection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178" fontId="121" fillId="34" borderId="0" xfId="0" applyNumberFormat="1" applyFont="1" applyFill="1" applyAlignment="1" applyProtection="1">
      <alignment horizontal="center"/>
      <protection/>
    </xf>
    <xf numFmtId="0" fontId="17" fillId="36" borderId="0" xfId="0" applyFont="1" applyFill="1" applyAlignment="1" applyProtection="1">
      <alignment vertical="center"/>
      <protection/>
    </xf>
    <xf numFmtId="0" fontId="5" fillId="37" borderId="12" xfId="0" applyFont="1" applyFill="1" applyBorder="1" applyAlignment="1" applyProtection="1">
      <alignment horizontal="center" vertical="center"/>
      <protection locked="0"/>
    </xf>
    <xf numFmtId="0" fontId="5" fillId="37" borderId="10" xfId="0" applyFont="1" applyFill="1" applyBorder="1" applyAlignment="1" applyProtection="1">
      <alignment horizontal="center" vertical="center"/>
      <protection locked="0"/>
    </xf>
    <xf numFmtId="177" fontId="5" fillId="37" borderId="11" xfId="0" applyNumberFormat="1" applyFont="1" applyFill="1" applyBorder="1" applyAlignment="1" applyProtection="1">
      <alignment horizontal="center" vertical="center"/>
      <protection locked="0"/>
    </xf>
    <xf numFmtId="0" fontId="16" fillId="37" borderId="11" xfId="0" applyFont="1" applyFill="1" applyBorder="1" applyAlignment="1" applyProtection="1">
      <alignment horizontal="center" vertical="center"/>
      <protection locked="0"/>
    </xf>
    <xf numFmtId="0" fontId="6" fillId="37" borderId="11" xfId="0" applyFont="1" applyFill="1" applyBorder="1" applyAlignment="1" applyProtection="1">
      <alignment horizontal="center" vertical="center"/>
      <protection locked="0"/>
    </xf>
    <xf numFmtId="0" fontId="6" fillId="37" borderId="13" xfId="0" applyFont="1" applyFill="1" applyBorder="1" applyAlignment="1" applyProtection="1">
      <alignment horizontal="centerContinuous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0" fontId="35" fillId="0" borderId="16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75" fontId="19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175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36" fillId="0" borderId="18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175" fontId="3" fillId="0" borderId="15" xfId="0" applyNumberFormat="1" applyFont="1" applyBorder="1" applyAlignment="1" applyProtection="1">
      <alignment horizontal="center" vertical="center"/>
      <protection/>
    </xf>
    <xf numFmtId="175" fontId="38" fillId="0" borderId="15" xfId="0" applyNumberFormat="1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centerContinuous" vertical="center"/>
      <protection/>
    </xf>
    <xf numFmtId="0" fontId="36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centerContinuous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1" fontId="19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1" fontId="19" fillId="0" borderId="23" xfId="0" applyNumberFormat="1" applyFont="1" applyFill="1" applyBorder="1" applyAlignment="1" applyProtection="1">
      <alignment horizontal="center" vertical="center"/>
      <protection/>
    </xf>
    <xf numFmtId="1" fontId="19" fillId="0" borderId="23" xfId="0" applyNumberFormat="1" applyFont="1" applyFill="1" applyBorder="1" applyAlignment="1" applyProtection="1">
      <alignment horizontal="centerContinuous" vertical="center"/>
      <protection/>
    </xf>
    <xf numFmtId="175" fontId="19" fillId="0" borderId="23" xfId="0" applyNumberFormat="1" applyFont="1" applyFill="1" applyBorder="1" applyAlignment="1" applyProtection="1">
      <alignment horizontal="centerContinuous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175" fontId="9" fillId="0" borderId="18" xfId="0" applyNumberFormat="1" applyFont="1" applyFill="1" applyBorder="1" applyAlignment="1" applyProtection="1">
      <alignment vertical="center"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  <xf numFmtId="1" fontId="17" fillId="0" borderId="23" xfId="0" applyNumberFormat="1" applyFont="1" applyFill="1" applyBorder="1" applyAlignment="1" applyProtection="1">
      <alignment horizontal="center" vertical="center"/>
      <protection/>
    </xf>
    <xf numFmtId="175" fontId="17" fillId="0" borderId="23" xfId="0" applyNumberFormat="1" applyFont="1" applyFill="1" applyBorder="1" applyAlignment="1" applyProtection="1">
      <alignment horizontal="center" vertical="center"/>
      <protection/>
    </xf>
    <xf numFmtId="1" fontId="17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Continuous"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75" fontId="38" fillId="0" borderId="18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Continuous" vertical="center"/>
      <protection/>
    </xf>
    <xf numFmtId="0" fontId="2" fillId="27" borderId="25" xfId="0" applyFont="1" applyFill="1" applyBorder="1" applyAlignment="1" applyProtection="1">
      <alignment horizontal="center" vertical="center"/>
      <protection/>
    </xf>
    <xf numFmtId="0" fontId="2" fillId="27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26" fillId="27" borderId="14" xfId="0" applyFont="1" applyFill="1" applyBorder="1" applyAlignment="1" applyProtection="1">
      <alignment vertical="center" wrapText="1"/>
      <protection/>
    </xf>
    <xf numFmtId="0" fontId="27" fillId="27" borderId="18" xfId="0" applyFont="1" applyFill="1" applyBorder="1" applyAlignment="1" applyProtection="1">
      <alignment vertical="center" wrapText="1"/>
      <protection/>
    </xf>
    <xf numFmtId="0" fontId="45" fillId="34" borderId="0" xfId="0" applyFont="1" applyFill="1" applyAlignment="1" applyProtection="1">
      <alignment horizontal="center" vertical="center"/>
      <protection/>
    </xf>
    <xf numFmtId="0" fontId="3" fillId="38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27" borderId="0" xfId="0" applyFont="1" applyFill="1" applyBorder="1" applyAlignment="1" applyProtection="1">
      <alignment vertical="center"/>
      <protection/>
    </xf>
    <xf numFmtId="0" fontId="28" fillId="27" borderId="0" xfId="0" applyFont="1" applyFill="1" applyBorder="1" applyAlignment="1" applyProtection="1">
      <alignment vertical="center"/>
      <protection/>
    </xf>
    <xf numFmtId="0" fontId="46" fillId="27" borderId="0" xfId="0" applyFont="1" applyFill="1" applyBorder="1" applyAlignment="1" applyProtection="1">
      <alignment horizontal="center" vertical="center"/>
      <protection/>
    </xf>
    <xf numFmtId="0" fontId="49" fillId="27" borderId="0" xfId="0" applyFont="1" applyFill="1" applyBorder="1" applyAlignment="1" applyProtection="1">
      <alignment horizontal="centerContinuous" vertical="center"/>
      <protection hidden="1"/>
    </xf>
    <xf numFmtId="0" fontId="3" fillId="27" borderId="0" xfId="0" applyFont="1" applyFill="1" applyBorder="1" applyAlignment="1" applyProtection="1">
      <alignment vertical="center"/>
      <protection hidden="1"/>
    </xf>
    <xf numFmtId="0" fontId="3" fillId="27" borderId="0" xfId="0" applyFont="1" applyFill="1" applyAlignment="1" applyProtection="1">
      <alignment vertical="center"/>
      <protection/>
    </xf>
    <xf numFmtId="0" fontId="42" fillId="27" borderId="0" xfId="0" applyFont="1" applyFill="1" applyBorder="1" applyAlignment="1" applyProtection="1">
      <alignment horizontal="center" vertical="center"/>
      <protection hidden="1"/>
    </xf>
    <xf numFmtId="0" fontId="42" fillId="27" borderId="0" xfId="0" applyFont="1" applyFill="1" applyAlignment="1" applyProtection="1">
      <alignment horizontal="center" vertical="center"/>
      <protection/>
    </xf>
    <xf numFmtId="0" fontId="3" fillId="27" borderId="0" xfId="0" applyFont="1" applyFill="1" applyAlignment="1" applyProtection="1">
      <alignment vertical="center"/>
      <protection hidden="1"/>
    </xf>
    <xf numFmtId="0" fontId="2" fillId="30" borderId="27" xfId="0" applyFont="1" applyFill="1" applyBorder="1" applyAlignment="1" applyProtection="1">
      <alignment horizontal="center" vertical="center"/>
      <protection hidden="1"/>
    </xf>
    <xf numFmtId="175" fontId="2" fillId="30" borderId="27" xfId="0" applyNumberFormat="1" applyFont="1" applyFill="1" applyBorder="1" applyAlignment="1" applyProtection="1">
      <alignment horizontal="center" vertical="center"/>
      <protection/>
    </xf>
    <xf numFmtId="0" fontId="2" fillId="30" borderId="28" xfId="0" applyFont="1" applyFill="1" applyBorder="1" applyAlignment="1" applyProtection="1">
      <alignment horizontal="center" vertical="center"/>
      <protection hidden="1"/>
    </xf>
    <xf numFmtId="175" fontId="2" fillId="30" borderId="28" xfId="0" applyNumberFormat="1" applyFont="1" applyFill="1" applyBorder="1" applyAlignment="1" applyProtection="1">
      <alignment horizontal="center" vertical="center"/>
      <protection/>
    </xf>
    <xf numFmtId="0" fontId="3" fillId="30" borderId="18" xfId="0" applyFont="1" applyFill="1" applyBorder="1" applyAlignment="1" applyProtection="1">
      <alignment horizontal="left" vertical="center"/>
      <protection/>
    </xf>
    <xf numFmtId="0" fontId="3" fillId="30" borderId="0" xfId="0" applyFont="1" applyFill="1" applyBorder="1" applyAlignment="1" applyProtection="1">
      <alignment horizontal="left" vertical="center"/>
      <protection/>
    </xf>
    <xf numFmtId="0" fontId="3" fillId="30" borderId="15" xfId="0" applyFont="1" applyFill="1" applyBorder="1" applyAlignment="1" applyProtection="1">
      <alignment horizontal="left" vertical="center"/>
      <protection/>
    </xf>
    <xf numFmtId="0" fontId="122" fillId="39" borderId="29" xfId="0" applyFont="1" applyFill="1" applyBorder="1" applyAlignment="1" applyProtection="1">
      <alignment horizontal="center" vertical="center"/>
      <protection/>
    </xf>
    <xf numFmtId="0" fontId="122" fillId="39" borderId="29" xfId="0" applyFont="1" applyFill="1" applyBorder="1" applyAlignment="1" applyProtection="1">
      <alignment horizontal="center" vertical="center" wrapText="1"/>
      <protection hidden="1"/>
    </xf>
    <xf numFmtId="0" fontId="122" fillId="39" borderId="30" xfId="0" applyFont="1" applyFill="1" applyBorder="1" applyAlignment="1" applyProtection="1">
      <alignment horizontal="center" vertical="center"/>
      <protection hidden="1"/>
    </xf>
    <xf numFmtId="175" fontId="19" fillId="0" borderId="10" xfId="0" applyNumberFormat="1" applyFont="1" applyFill="1" applyBorder="1" applyAlignment="1" applyProtection="1" quotePrefix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 wrapText="1"/>
      <protection/>
    </xf>
    <xf numFmtId="0" fontId="123" fillId="40" borderId="27" xfId="0" applyFont="1" applyFill="1" applyBorder="1" applyAlignment="1" applyProtection="1">
      <alignment horizontal="center" vertical="center"/>
      <protection locked="0"/>
    </xf>
    <xf numFmtId="0" fontId="123" fillId="40" borderId="28" xfId="0" applyFont="1" applyFill="1" applyBorder="1" applyAlignment="1" applyProtection="1">
      <alignment horizontal="center" vertical="center"/>
      <protection locked="0"/>
    </xf>
    <xf numFmtId="0" fontId="46" fillId="27" borderId="0" xfId="0" applyFont="1" applyFill="1" applyAlignment="1" applyProtection="1">
      <alignment vertical="center"/>
      <protection/>
    </xf>
    <xf numFmtId="0" fontId="46" fillId="27" borderId="0" xfId="0" applyFont="1" applyFill="1" applyBorder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35" fillId="0" borderId="21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/>
      <protection/>
    </xf>
    <xf numFmtId="1" fontId="19" fillId="0" borderId="0" xfId="0" applyNumberFormat="1" applyFont="1" applyBorder="1" applyAlignment="1" applyProtection="1">
      <alignment vertical="center"/>
      <protection/>
    </xf>
    <xf numFmtId="1" fontId="19" fillId="0" borderId="22" xfId="0" applyNumberFormat="1" applyFont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vertical="center"/>
      <protection/>
    </xf>
    <xf numFmtId="1" fontId="3" fillId="0" borderId="24" xfId="0" applyNumberFormat="1" applyFont="1" applyBorder="1" applyAlignment="1" applyProtection="1">
      <alignment vertical="center"/>
      <protection/>
    </xf>
    <xf numFmtId="1" fontId="17" fillId="0" borderId="0" xfId="0" applyNumberFormat="1" applyFont="1" applyBorder="1" applyAlignment="1" applyProtection="1">
      <alignment vertical="center"/>
      <protection/>
    </xf>
    <xf numFmtId="175" fontId="17" fillId="0" borderId="0" xfId="0" applyNumberFormat="1" applyFont="1" applyBorder="1" applyAlignment="1" applyProtection="1">
      <alignment vertical="center"/>
      <protection/>
    </xf>
    <xf numFmtId="1" fontId="17" fillId="0" borderId="15" xfId="0" applyNumberFormat="1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175" fontId="19" fillId="0" borderId="0" xfId="0" applyNumberFormat="1" applyFont="1" applyBorder="1" applyAlignment="1" applyProtection="1">
      <alignment vertical="center"/>
      <protection/>
    </xf>
    <xf numFmtId="1" fontId="19" fillId="0" borderId="16" xfId="0" applyNumberFormat="1" applyFont="1" applyBorder="1" applyAlignment="1" applyProtection="1">
      <alignment vertical="center"/>
      <protection/>
    </xf>
    <xf numFmtId="0" fontId="19" fillId="0" borderId="10" xfId="0" applyNumberFormat="1" applyFont="1" applyFill="1" applyBorder="1" applyAlignment="1" applyProtection="1" quotePrefix="1">
      <alignment horizontal="center" vertical="center"/>
      <protection/>
    </xf>
    <xf numFmtId="0" fontId="19" fillId="0" borderId="31" xfId="0" applyNumberFormat="1" applyFont="1" applyFill="1" applyBorder="1" applyAlignment="1" applyProtection="1" quotePrefix="1">
      <alignment horizontal="center" vertical="center"/>
      <protection/>
    </xf>
    <xf numFmtId="175" fontId="19" fillId="0" borderId="31" xfId="0" applyNumberFormat="1" applyFont="1" applyFill="1" applyBorder="1" applyAlignment="1" applyProtection="1" quotePrefix="1">
      <alignment horizontal="center" vertical="center"/>
      <protection/>
    </xf>
    <xf numFmtId="0" fontId="19" fillId="0" borderId="15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175" fontId="3" fillId="0" borderId="0" xfId="0" applyNumberFormat="1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124" fillId="30" borderId="28" xfId="0" applyFont="1" applyFill="1" applyBorder="1" applyAlignment="1" applyProtection="1">
      <alignment horizontal="center" vertical="center"/>
      <protection/>
    </xf>
    <xf numFmtId="0" fontId="19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23" fillId="7" borderId="33" xfId="0" applyFont="1" applyFill="1" applyBorder="1" applyAlignment="1" applyProtection="1">
      <alignment horizontal="center" vertical="center"/>
      <protection/>
    </xf>
    <xf numFmtId="0" fontId="3" fillId="34" borderId="34" xfId="0" applyFont="1" applyFill="1" applyBorder="1" applyAlignment="1" applyProtection="1">
      <alignment vertical="center"/>
      <protection/>
    </xf>
    <xf numFmtId="0" fontId="23" fillId="7" borderId="35" xfId="0" applyFont="1" applyFill="1" applyBorder="1" applyAlignment="1" applyProtection="1">
      <alignment horizontal="center" vertical="center"/>
      <protection/>
    </xf>
    <xf numFmtId="0" fontId="19" fillId="34" borderId="0" xfId="0" applyFont="1" applyFill="1" applyAlignment="1" applyProtection="1">
      <alignment horizontal="center" vertical="center"/>
      <protection/>
    </xf>
    <xf numFmtId="0" fontId="19" fillId="36" borderId="0" xfId="0" applyFont="1" applyFill="1" applyAlignment="1" applyProtection="1">
      <alignment horizontal="center" vertical="center"/>
      <protection/>
    </xf>
    <xf numFmtId="0" fontId="22" fillId="36" borderId="0" xfId="0" applyFont="1" applyFill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/>
      <protection/>
    </xf>
    <xf numFmtId="0" fontId="9" fillId="35" borderId="37" xfId="0" applyFont="1" applyFill="1" applyBorder="1" applyAlignment="1" applyProtection="1">
      <alignment horizontal="center" vertical="center"/>
      <protection/>
    </xf>
    <xf numFmtId="0" fontId="9" fillId="35" borderId="37" xfId="0" applyFont="1" applyFill="1" applyBorder="1" applyAlignment="1" applyProtection="1">
      <alignment horizontal="center" vertical="center" wrapText="1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125" fillId="36" borderId="0" xfId="0" applyFont="1" applyFill="1" applyAlignment="1" applyProtection="1">
      <alignment vertical="center"/>
      <protection/>
    </xf>
    <xf numFmtId="0" fontId="9" fillId="35" borderId="16" xfId="0" applyFont="1" applyFill="1" applyBorder="1" applyAlignment="1" applyProtection="1">
      <alignment horizontal="center" vertical="center"/>
      <protection/>
    </xf>
    <xf numFmtId="0" fontId="17" fillId="36" borderId="0" xfId="0" applyFont="1" applyFill="1" applyAlignment="1" applyProtection="1">
      <alignment horizontal="center" vertical="center"/>
      <protection/>
    </xf>
    <xf numFmtId="0" fontId="19" fillId="41" borderId="10" xfId="0" applyFont="1" applyFill="1" applyBorder="1" applyAlignment="1" applyProtection="1">
      <alignment vertical="center"/>
      <protection/>
    </xf>
    <xf numFmtId="1" fontId="19" fillId="41" borderId="10" xfId="0" applyNumberFormat="1" applyFont="1" applyFill="1" applyBorder="1" applyAlignment="1" applyProtection="1">
      <alignment horizontal="center" vertical="center"/>
      <protection/>
    </xf>
    <xf numFmtId="175" fontId="19" fillId="41" borderId="10" xfId="0" applyNumberFormat="1" applyFont="1" applyFill="1" applyBorder="1" applyAlignment="1" applyProtection="1">
      <alignment horizontal="center" vertical="center"/>
      <protection/>
    </xf>
    <xf numFmtId="0" fontId="126" fillId="36" borderId="0" xfId="0" applyFont="1" applyFill="1" applyAlignment="1" applyProtection="1">
      <alignment horizontal="center" vertical="center"/>
      <protection/>
    </xf>
    <xf numFmtId="0" fontId="19" fillId="36" borderId="0" xfId="0" applyFont="1" applyFill="1" applyAlignment="1" applyProtection="1">
      <alignment vertical="center"/>
      <protection/>
    </xf>
    <xf numFmtId="175" fontId="19" fillId="36" borderId="0" xfId="0" applyNumberFormat="1" applyFont="1" applyFill="1" applyAlignment="1" applyProtection="1">
      <alignment vertical="center"/>
      <protection/>
    </xf>
    <xf numFmtId="0" fontId="19" fillId="42" borderId="10" xfId="0" applyFont="1" applyFill="1" applyBorder="1" applyAlignment="1" applyProtection="1">
      <alignment vertical="center"/>
      <protection/>
    </xf>
    <xf numFmtId="0" fontId="19" fillId="42" borderId="10" xfId="0" applyFont="1" applyFill="1" applyBorder="1" applyAlignment="1" applyProtection="1">
      <alignment horizontal="center" vertical="center"/>
      <protection/>
    </xf>
    <xf numFmtId="175" fontId="19" fillId="42" borderId="10" xfId="0" applyNumberFormat="1" applyFont="1" applyFill="1" applyBorder="1" applyAlignment="1" applyProtection="1">
      <alignment horizontal="center" vertical="center"/>
      <protection/>
    </xf>
    <xf numFmtId="0" fontId="19" fillId="43" borderId="10" xfId="0" applyFont="1" applyFill="1" applyBorder="1" applyAlignment="1" applyProtection="1">
      <alignment vertical="center"/>
      <protection/>
    </xf>
    <xf numFmtId="0" fontId="19" fillId="43" borderId="10" xfId="0" applyFont="1" applyFill="1" applyBorder="1" applyAlignment="1" applyProtection="1">
      <alignment horizontal="center" vertical="center"/>
      <protection/>
    </xf>
    <xf numFmtId="175" fontId="19" fillId="43" borderId="10" xfId="0" applyNumberFormat="1" applyFont="1" applyFill="1" applyBorder="1" applyAlignment="1" applyProtection="1">
      <alignment horizontal="center" vertical="center"/>
      <protection/>
    </xf>
    <xf numFmtId="175" fontId="19" fillId="36" borderId="0" xfId="0" applyNumberFormat="1" applyFont="1" applyFill="1" applyAlignment="1" applyProtection="1">
      <alignment horizontal="center" vertical="center"/>
      <protection/>
    </xf>
    <xf numFmtId="175" fontId="3" fillId="34" borderId="0" xfId="0" applyNumberFormat="1" applyFont="1" applyFill="1" applyAlignment="1" applyProtection="1">
      <alignment vertical="center"/>
      <protection/>
    </xf>
    <xf numFmtId="0" fontId="17" fillId="34" borderId="0" xfId="0" applyFont="1" applyFill="1" applyAlignment="1" applyProtection="1">
      <alignment vertical="center"/>
      <protection/>
    </xf>
    <xf numFmtId="0" fontId="127" fillId="36" borderId="0" xfId="0" applyFont="1" applyFill="1" applyAlignment="1" applyProtection="1">
      <alignment vertical="center"/>
      <protection/>
    </xf>
    <xf numFmtId="0" fontId="19" fillId="41" borderId="10" xfId="0" applyFont="1" applyFill="1" applyBorder="1" applyAlignment="1" applyProtection="1">
      <alignment horizontal="center" vertical="center"/>
      <protection/>
    </xf>
    <xf numFmtId="0" fontId="19" fillId="42" borderId="12" xfId="0" applyFont="1" applyFill="1" applyBorder="1" applyAlignment="1" applyProtection="1">
      <alignment horizontal="center" vertical="center"/>
      <protection/>
    </xf>
    <xf numFmtId="175" fontId="19" fillId="34" borderId="0" xfId="0" applyNumberFormat="1" applyFont="1" applyFill="1" applyAlignment="1" applyProtection="1">
      <alignment horizontal="center" vertical="center"/>
      <protection/>
    </xf>
    <xf numFmtId="175" fontId="3" fillId="36" borderId="0" xfId="0" applyNumberFormat="1" applyFont="1" applyFill="1" applyAlignment="1" applyProtection="1">
      <alignment vertical="center"/>
      <protection/>
    </xf>
    <xf numFmtId="0" fontId="3" fillId="36" borderId="21" xfId="0" applyFont="1" applyFill="1" applyBorder="1" applyAlignment="1" applyProtection="1">
      <alignment vertical="center"/>
      <protection/>
    </xf>
    <xf numFmtId="0" fontId="49" fillId="27" borderId="0" xfId="0" applyFont="1" applyFill="1" applyBorder="1" applyAlignment="1" applyProtection="1">
      <alignment horizontal="centerContinuous" vertical="center"/>
      <protection/>
    </xf>
    <xf numFmtId="0" fontId="122" fillId="39" borderId="29" xfId="0" applyFont="1" applyFill="1" applyBorder="1" applyAlignment="1" applyProtection="1">
      <alignment horizontal="center" vertical="center" wrapText="1"/>
      <protection/>
    </xf>
    <xf numFmtId="0" fontId="122" fillId="39" borderId="30" xfId="0" applyFont="1" applyFill="1" applyBorder="1" applyAlignment="1" applyProtection="1">
      <alignment horizontal="center" vertical="center"/>
      <protection/>
    </xf>
    <xf numFmtId="0" fontId="42" fillId="27" borderId="0" xfId="0" applyFont="1" applyFill="1" applyBorder="1" applyAlignment="1" applyProtection="1">
      <alignment horizontal="center" vertical="center"/>
      <protection/>
    </xf>
    <xf numFmtId="0" fontId="2" fillId="30" borderId="27" xfId="0" applyFont="1" applyFill="1" applyBorder="1" applyAlignment="1" applyProtection="1">
      <alignment horizontal="center" vertical="center"/>
      <protection/>
    </xf>
    <xf numFmtId="0" fontId="2" fillId="30" borderId="28" xfId="0" applyFont="1" applyFill="1" applyBorder="1" applyAlignment="1" applyProtection="1">
      <alignment horizontal="center" vertical="center"/>
      <protection/>
    </xf>
    <xf numFmtId="0" fontId="19" fillId="0" borderId="17" xfId="0" applyFont="1" applyFill="1" applyBorder="1" applyAlignment="1" applyProtection="1">
      <alignment horizontal="left" vertical="center"/>
      <protection/>
    </xf>
    <xf numFmtId="175" fontId="19" fillId="42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10" fillId="35" borderId="39" xfId="0" applyFont="1" applyFill="1" applyBorder="1" applyAlignment="1" applyProtection="1">
      <alignment horizontal="center" vertical="center"/>
      <protection/>
    </xf>
    <xf numFmtId="0" fontId="10" fillId="35" borderId="40" xfId="0" applyFont="1" applyFill="1" applyBorder="1" applyAlignment="1" applyProtection="1">
      <alignment horizontal="center" vertical="center"/>
      <protection/>
    </xf>
    <xf numFmtId="0" fontId="10" fillId="35" borderId="41" xfId="0" applyFont="1" applyFill="1" applyBorder="1" applyAlignment="1" applyProtection="1">
      <alignment horizontal="center" vertical="center"/>
      <protection/>
    </xf>
    <xf numFmtId="0" fontId="4" fillId="35" borderId="42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center" vertical="center"/>
      <protection/>
    </xf>
    <xf numFmtId="0" fontId="4" fillId="35" borderId="44" xfId="0" applyFont="1" applyFill="1" applyBorder="1" applyAlignment="1" applyProtection="1">
      <alignment horizontal="center" vertical="center"/>
      <protection/>
    </xf>
    <xf numFmtId="0" fontId="11" fillId="35" borderId="39" xfId="0" applyFont="1" applyFill="1" applyBorder="1" applyAlignment="1" applyProtection="1">
      <alignment horizontal="center" vertical="center"/>
      <protection/>
    </xf>
    <xf numFmtId="0" fontId="11" fillId="35" borderId="40" xfId="0" applyFont="1" applyFill="1" applyBorder="1" applyAlignment="1" applyProtection="1">
      <alignment horizontal="center" vertical="center"/>
      <protection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2" fillId="35" borderId="39" xfId="0" applyFont="1" applyFill="1" applyBorder="1" applyAlignment="1" applyProtection="1">
      <alignment horizontal="center" vertical="center"/>
      <protection/>
    </xf>
    <xf numFmtId="0" fontId="12" fillId="35" borderId="40" xfId="0" applyFont="1" applyFill="1" applyBorder="1" applyAlignment="1" applyProtection="1">
      <alignment horizontal="center" vertical="center"/>
      <protection/>
    </xf>
    <xf numFmtId="0" fontId="12" fillId="35" borderId="41" xfId="0" applyFont="1" applyFill="1" applyBorder="1" applyAlignment="1" applyProtection="1">
      <alignment horizontal="center" vertical="center"/>
      <protection/>
    </xf>
    <xf numFmtId="0" fontId="4" fillId="35" borderId="45" xfId="0" applyFont="1" applyFill="1" applyBorder="1" applyAlignment="1" applyProtection="1">
      <alignment horizontal="center" vertical="center"/>
      <protection/>
    </xf>
    <xf numFmtId="0" fontId="39" fillId="35" borderId="43" xfId="0" applyFont="1" applyFill="1" applyBorder="1" applyAlignment="1" applyProtection="1">
      <alignment horizontal="center" vertical="center" wrapText="1"/>
      <protection/>
    </xf>
    <xf numFmtId="0" fontId="122" fillId="39" borderId="46" xfId="0" applyFont="1" applyFill="1" applyBorder="1" applyAlignment="1" applyProtection="1">
      <alignment horizontal="center" vertical="center"/>
      <protection/>
    </xf>
    <xf numFmtId="0" fontId="12" fillId="38" borderId="0" xfId="0" applyFont="1" applyFill="1" applyBorder="1" applyAlignment="1" applyProtection="1">
      <alignment horizontal="center" vertical="center"/>
      <protection/>
    </xf>
    <xf numFmtId="0" fontId="2" fillId="38" borderId="0" xfId="0" applyFont="1" applyFill="1" applyAlignment="1" applyProtection="1">
      <alignment horizontal="center" vertical="center"/>
      <protection/>
    </xf>
    <xf numFmtId="0" fontId="5" fillId="38" borderId="0" xfId="0" applyFont="1" applyFill="1" applyBorder="1" applyAlignment="1" applyProtection="1">
      <alignment horizontal="center" vertical="center"/>
      <protection/>
    </xf>
    <xf numFmtId="0" fontId="128" fillId="35" borderId="39" xfId="0" applyFont="1" applyFill="1" applyBorder="1" applyAlignment="1" applyProtection="1">
      <alignment horizontal="center" vertical="center"/>
      <protection/>
    </xf>
    <xf numFmtId="0" fontId="128" fillId="35" borderId="40" xfId="0" applyFont="1" applyFill="1" applyBorder="1" applyAlignment="1" applyProtection="1">
      <alignment horizontal="center" vertical="center"/>
      <protection/>
    </xf>
    <xf numFmtId="0" fontId="128" fillId="35" borderId="41" xfId="0" applyFont="1" applyFill="1" applyBorder="1" applyAlignment="1" applyProtection="1">
      <alignment horizontal="center" vertical="center"/>
      <protection/>
    </xf>
    <xf numFmtId="175" fontId="3" fillId="27" borderId="0" xfId="0" applyNumberFormat="1" applyFont="1" applyFill="1" applyAlignment="1" applyProtection="1">
      <alignment vertical="center"/>
      <protection/>
    </xf>
    <xf numFmtId="0" fontId="19" fillId="44" borderId="10" xfId="0" applyFont="1" applyFill="1" applyBorder="1" applyAlignment="1" applyProtection="1">
      <alignment vertical="center"/>
      <protection/>
    </xf>
    <xf numFmtId="0" fontId="19" fillId="44" borderId="10" xfId="0" applyFont="1" applyFill="1" applyBorder="1" applyAlignment="1" applyProtection="1">
      <alignment horizontal="center" vertical="center"/>
      <protection/>
    </xf>
    <xf numFmtId="175" fontId="19" fillId="44" borderId="10" xfId="0" applyNumberFormat="1" applyFont="1" applyFill="1" applyBorder="1" applyAlignment="1" applyProtection="1">
      <alignment horizontal="center" vertical="center"/>
      <protection/>
    </xf>
    <xf numFmtId="0" fontId="129" fillId="36" borderId="0" xfId="0" applyFont="1" applyFill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27" borderId="0" xfId="0" applyFont="1" applyFill="1" applyBorder="1" applyAlignment="1" applyProtection="1">
      <alignment horizontal="left" vertical="center"/>
      <protection/>
    </xf>
    <xf numFmtId="0" fontId="3" fillId="27" borderId="0" xfId="0" applyFont="1" applyFill="1" applyAlignment="1" applyProtection="1">
      <alignment horizontal="left" vertical="center"/>
      <protection/>
    </xf>
    <xf numFmtId="0" fontId="2" fillId="27" borderId="0" xfId="0" applyFont="1" applyFill="1" applyBorder="1" applyAlignment="1" applyProtection="1">
      <alignment horizontal="left" vertical="center"/>
      <protection/>
    </xf>
    <xf numFmtId="0" fontId="42" fillId="27" borderId="0" xfId="0" applyFont="1" applyFill="1" applyBorder="1" applyAlignment="1" applyProtection="1">
      <alignment horizontal="left" vertical="center"/>
      <protection/>
    </xf>
    <xf numFmtId="0" fontId="42" fillId="27" borderId="0" xfId="0" applyFont="1" applyFill="1" applyAlignment="1" applyProtection="1">
      <alignment horizontal="left" vertical="center"/>
      <protection/>
    </xf>
    <xf numFmtId="175" fontId="3" fillId="45" borderId="10" xfId="0" applyNumberFormat="1" applyFont="1" applyFill="1" applyBorder="1" applyAlignment="1" applyProtection="1">
      <alignment horizontal="center" vertical="center"/>
      <protection/>
    </xf>
    <xf numFmtId="0" fontId="2" fillId="46" borderId="27" xfId="0" applyFont="1" applyFill="1" applyBorder="1" applyAlignment="1" applyProtection="1">
      <alignment horizontal="center" vertical="center"/>
      <protection hidden="1"/>
    </xf>
    <xf numFmtId="0" fontId="2" fillId="46" borderId="28" xfId="0" applyFont="1" applyFill="1" applyBorder="1" applyAlignment="1" applyProtection="1">
      <alignment horizontal="center" vertical="center"/>
      <protection hidden="1"/>
    </xf>
    <xf numFmtId="0" fontId="130" fillId="36" borderId="0" xfId="0" applyFont="1" applyFill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31" fillId="36" borderId="0" xfId="0" applyFont="1" applyFill="1" applyAlignment="1" applyProtection="1">
      <alignment horizontal="center" vertical="center"/>
      <protection/>
    </xf>
    <xf numFmtId="0" fontId="132" fillId="36" borderId="0" xfId="0" applyFont="1" applyFill="1" applyAlignment="1" applyProtection="1">
      <alignment horizontal="center" vertical="center"/>
      <protection/>
    </xf>
    <xf numFmtId="0" fontId="133" fillId="34" borderId="0" xfId="0" applyFont="1" applyFill="1" applyAlignment="1" applyProtection="1">
      <alignment horizontal="center" vertical="center"/>
      <protection/>
    </xf>
    <xf numFmtId="0" fontId="134" fillId="36" borderId="0" xfId="0" applyFont="1" applyFill="1" applyAlignment="1" applyProtection="1">
      <alignment horizontal="center" vertical="center"/>
      <protection/>
    </xf>
    <xf numFmtId="0" fontId="3" fillId="38" borderId="0" xfId="0" applyFont="1" applyFill="1" applyBorder="1" applyAlignment="1" applyProtection="1">
      <alignment horizontal="center" vertical="center"/>
      <protection/>
    </xf>
    <xf numFmtId="0" fontId="4" fillId="35" borderId="31" xfId="0" applyFont="1" applyFill="1" applyBorder="1" applyAlignment="1" applyProtection="1">
      <alignment horizontal="centerContinuous" vertical="center"/>
      <protection hidden="1"/>
    </xf>
    <xf numFmtId="0" fontId="55" fillId="0" borderId="14" xfId="0" applyFont="1" applyBorder="1" applyAlignment="1" applyProtection="1">
      <alignment horizontal="center" vertical="center"/>
      <protection/>
    </xf>
    <xf numFmtId="0" fontId="55" fillId="0" borderId="23" xfId="0" applyFont="1" applyBorder="1" applyAlignment="1" applyProtection="1">
      <alignment horizontal="center" vertical="center"/>
      <protection/>
    </xf>
    <xf numFmtId="0" fontId="55" fillId="0" borderId="19" xfId="0" applyFont="1" applyBorder="1" applyAlignment="1" applyProtection="1">
      <alignment horizontal="center" vertical="center"/>
      <protection/>
    </xf>
    <xf numFmtId="0" fontId="55" fillId="0" borderId="18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horizontal="center" vertical="center"/>
      <protection/>
    </xf>
    <xf numFmtId="175" fontId="3" fillId="0" borderId="0" xfId="0" applyNumberFormat="1" applyFont="1" applyFill="1" applyAlignment="1" applyProtection="1">
      <alignment horizontal="center" vertical="center"/>
      <protection hidden="1"/>
    </xf>
    <xf numFmtId="0" fontId="55" fillId="0" borderId="20" xfId="0" applyFont="1" applyBorder="1" applyAlignment="1" applyProtection="1">
      <alignment horizontal="center" vertical="center"/>
      <protection/>
    </xf>
    <xf numFmtId="0" fontId="55" fillId="0" borderId="21" xfId="0" applyFont="1" applyBorder="1" applyAlignment="1" applyProtection="1">
      <alignment horizontal="center" vertical="center"/>
      <protection/>
    </xf>
    <xf numFmtId="0" fontId="55" fillId="0" borderId="16" xfId="0" applyFont="1" applyBorder="1" applyAlignment="1" applyProtection="1">
      <alignment horizontal="center" vertical="center"/>
      <protection/>
    </xf>
    <xf numFmtId="175" fontId="2" fillId="0" borderId="10" xfId="0" applyNumberFormat="1" applyFont="1" applyFill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30" borderId="14" xfId="0" applyFont="1" applyFill="1" applyBorder="1" applyAlignment="1" applyProtection="1">
      <alignment horizontal="center" vertical="center"/>
      <protection/>
    </xf>
    <xf numFmtId="0" fontId="3" fillId="30" borderId="23" xfId="0" applyFont="1" applyFill="1" applyBorder="1" applyAlignment="1" applyProtection="1" quotePrefix="1">
      <alignment vertical="center"/>
      <protection/>
    </xf>
    <xf numFmtId="0" fontId="3" fillId="30" borderId="19" xfId="0" applyFont="1" applyFill="1" applyBorder="1" applyAlignment="1" applyProtection="1">
      <alignment vertical="center"/>
      <protection/>
    </xf>
    <xf numFmtId="0" fontId="2" fillId="30" borderId="18" xfId="0" applyFont="1" applyFill="1" applyBorder="1" applyAlignment="1" applyProtection="1">
      <alignment horizontal="center" vertical="center"/>
      <protection/>
    </xf>
    <xf numFmtId="0" fontId="3" fillId="30" borderId="0" xfId="0" applyFont="1" applyFill="1" applyBorder="1" applyAlignment="1" applyProtection="1" quotePrefix="1">
      <alignment vertical="center"/>
      <protection/>
    </xf>
    <xf numFmtId="0" fontId="3" fillId="30" borderId="15" xfId="0" applyFont="1" applyFill="1" applyBorder="1" applyAlignment="1" applyProtection="1">
      <alignment vertical="center"/>
      <protection/>
    </xf>
    <xf numFmtId="0" fontId="2" fillId="30" borderId="20" xfId="0" applyFont="1" applyFill="1" applyBorder="1" applyAlignment="1" applyProtection="1">
      <alignment horizontal="center" vertical="center"/>
      <protection/>
    </xf>
    <xf numFmtId="0" fontId="3" fillId="30" borderId="21" xfId="0" applyFont="1" applyFill="1" applyBorder="1" applyAlignment="1" applyProtection="1" quotePrefix="1">
      <alignment vertical="center"/>
      <protection/>
    </xf>
    <xf numFmtId="0" fontId="3" fillId="30" borderId="16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5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47" borderId="47" xfId="0" applyFont="1" applyFill="1" applyBorder="1" applyAlignment="1">
      <alignment horizontal="center" vertical="center" wrapText="1"/>
    </xf>
    <xf numFmtId="0" fontId="28" fillId="7" borderId="47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vertical="center"/>
    </xf>
    <xf numFmtId="0" fontId="135" fillId="0" borderId="27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53" fillId="48" borderId="32" xfId="0" applyFont="1" applyFill="1" applyBorder="1" applyAlignment="1">
      <alignment vertical="center"/>
    </xf>
    <xf numFmtId="0" fontId="135" fillId="48" borderId="32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vertical="center"/>
    </xf>
    <xf numFmtId="0" fontId="135" fillId="0" borderId="32" xfId="0" applyFont="1" applyFill="1" applyBorder="1" applyAlignment="1">
      <alignment horizontal="center" vertical="center"/>
    </xf>
    <xf numFmtId="0" fontId="2" fillId="47" borderId="28" xfId="0" applyFont="1" applyFill="1" applyBorder="1" applyAlignment="1">
      <alignment horizontal="center" vertical="center"/>
    </xf>
    <xf numFmtId="0" fontId="136" fillId="0" borderId="0" xfId="0" applyFont="1" applyAlignment="1">
      <alignment vertical="center"/>
    </xf>
    <xf numFmtId="0" fontId="53" fillId="48" borderId="28" xfId="0" applyFont="1" applyFill="1" applyBorder="1" applyAlignment="1">
      <alignment vertical="center"/>
    </xf>
    <xf numFmtId="0" fontId="135" fillId="48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7" fillId="45" borderId="10" xfId="0" applyFont="1" applyFill="1" applyBorder="1" applyAlignment="1" applyProtection="1">
      <alignment horizontal="center" vertical="center"/>
      <protection/>
    </xf>
    <xf numFmtId="1" fontId="2" fillId="45" borderId="10" xfId="0" applyNumberFormat="1" applyFont="1" applyFill="1" applyBorder="1" applyAlignment="1" applyProtection="1">
      <alignment horizontal="center" vertical="center"/>
      <protection/>
    </xf>
    <xf numFmtId="1" fontId="123" fillId="40" borderId="4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127" fillId="36" borderId="0" xfId="0" applyFont="1" applyFill="1" applyAlignment="1" applyProtection="1">
      <alignment vertical="center"/>
      <protection locked="0"/>
    </xf>
    <xf numFmtId="1" fontId="19" fillId="6" borderId="10" xfId="0" applyNumberFormat="1" applyFont="1" applyFill="1" applyBorder="1" applyAlignment="1" applyProtection="1">
      <alignment horizontal="center" vertical="center"/>
      <protection/>
    </xf>
    <xf numFmtId="175" fontId="19" fillId="6" borderId="10" xfId="0" applyNumberFormat="1" applyFont="1" applyFill="1" applyBorder="1" applyAlignment="1" applyProtection="1">
      <alignment horizontal="center" vertical="center"/>
      <protection/>
    </xf>
    <xf numFmtId="1" fontId="17" fillId="6" borderId="1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right" vertical="center"/>
      <protection/>
    </xf>
    <xf numFmtId="0" fontId="37" fillId="6" borderId="10" xfId="0" applyFont="1" applyFill="1" applyBorder="1" applyAlignment="1" applyProtection="1">
      <alignment horizontal="center" vertical="center"/>
      <protection/>
    </xf>
    <xf numFmtId="0" fontId="28" fillId="37" borderId="0" xfId="0" applyFont="1" applyFill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center" vertical="center"/>
      <protection/>
    </xf>
    <xf numFmtId="0" fontId="18" fillId="0" borderId="50" xfId="0" applyFont="1" applyFill="1" applyBorder="1" applyAlignment="1" applyProtection="1">
      <alignment horizontal="center" vertical="center"/>
      <protection/>
    </xf>
    <xf numFmtId="0" fontId="53" fillId="27" borderId="23" xfId="0" applyFont="1" applyFill="1" applyBorder="1" applyAlignment="1" applyProtection="1">
      <alignment horizontal="center" vertical="center" wrapText="1"/>
      <protection/>
    </xf>
    <xf numFmtId="0" fontId="53" fillId="27" borderId="19" xfId="0" applyFont="1" applyFill="1" applyBorder="1" applyAlignment="1" applyProtection="1">
      <alignment horizontal="center" vertical="center" wrapText="1"/>
      <protection/>
    </xf>
    <xf numFmtId="0" fontId="43" fillId="27" borderId="20" xfId="0" applyFont="1" applyFill="1" applyBorder="1" applyAlignment="1" applyProtection="1">
      <alignment horizontal="center" vertical="center" wrapText="1"/>
      <protection/>
    </xf>
    <xf numFmtId="0" fontId="137" fillId="27" borderId="21" xfId="0" applyFont="1" applyFill="1" applyBorder="1" applyAlignment="1" applyProtection="1">
      <alignment horizontal="center" vertical="center" wrapText="1"/>
      <protection/>
    </xf>
    <xf numFmtId="0" fontId="137" fillId="27" borderId="16" xfId="0" applyFont="1" applyFill="1" applyBorder="1" applyAlignment="1" applyProtection="1">
      <alignment horizontal="center" vertical="center" wrapText="1"/>
      <protection/>
    </xf>
    <xf numFmtId="0" fontId="53" fillId="27" borderId="0" xfId="0" applyFont="1" applyFill="1" applyBorder="1" applyAlignment="1" applyProtection="1">
      <alignment horizontal="center" vertical="center" wrapText="1"/>
      <protection/>
    </xf>
    <xf numFmtId="0" fontId="53" fillId="27" borderId="15" xfId="0" applyFont="1" applyFill="1" applyBorder="1" applyAlignment="1" applyProtection="1">
      <alignment horizontal="center" vertical="center" wrapText="1"/>
      <protection/>
    </xf>
    <xf numFmtId="0" fontId="138" fillId="27" borderId="14" xfId="0" applyFont="1" applyFill="1" applyBorder="1" applyAlignment="1" applyProtection="1">
      <alignment horizontal="center" vertical="center" wrapText="1"/>
      <protection/>
    </xf>
    <xf numFmtId="0" fontId="138" fillId="27" borderId="23" xfId="0" applyFont="1" applyFill="1" applyBorder="1" applyAlignment="1" applyProtection="1">
      <alignment horizontal="center" vertical="center" wrapText="1"/>
      <protection/>
    </xf>
    <xf numFmtId="0" fontId="138" fillId="27" borderId="19" xfId="0" applyFont="1" applyFill="1" applyBorder="1" applyAlignment="1" applyProtection="1">
      <alignment horizontal="center" vertical="center" wrapText="1"/>
      <protection/>
    </xf>
    <xf numFmtId="0" fontId="53" fillId="27" borderId="18" xfId="0" applyFont="1" applyFill="1" applyBorder="1" applyAlignment="1" applyProtection="1">
      <alignment horizontal="center" vertical="center" wrapText="1"/>
      <protection/>
    </xf>
    <xf numFmtId="0" fontId="2" fillId="27" borderId="51" xfId="0" applyFont="1" applyFill="1" applyBorder="1" applyAlignment="1" applyProtection="1">
      <alignment horizontal="center" vertical="center"/>
      <protection/>
    </xf>
    <xf numFmtId="0" fontId="2" fillId="27" borderId="52" xfId="0" applyFont="1" applyFill="1" applyBorder="1" applyAlignment="1" applyProtection="1">
      <alignment horizontal="center" vertical="center"/>
      <protection/>
    </xf>
    <xf numFmtId="0" fontId="53" fillId="27" borderId="31" xfId="0" applyFont="1" applyFill="1" applyBorder="1" applyAlignment="1" applyProtection="1">
      <alignment horizontal="center" vertical="center" wrapText="1"/>
      <protection/>
    </xf>
    <xf numFmtId="0" fontId="53" fillId="27" borderId="24" xfId="0" applyFont="1" applyFill="1" applyBorder="1" applyAlignment="1" applyProtection="1">
      <alignment horizontal="center" vertical="center" wrapText="1"/>
      <protection/>
    </xf>
    <xf numFmtId="0" fontId="53" fillId="27" borderId="22" xfId="0" applyFont="1" applyFill="1" applyBorder="1" applyAlignment="1" applyProtection="1">
      <alignment horizontal="center" vertical="center" wrapText="1"/>
      <protection/>
    </xf>
    <xf numFmtId="0" fontId="139" fillId="27" borderId="0" xfId="0" applyFont="1" applyFill="1" applyBorder="1" applyAlignment="1" applyProtection="1">
      <alignment horizontal="center" vertical="center"/>
      <protection/>
    </xf>
    <xf numFmtId="0" fontId="20" fillId="27" borderId="14" xfId="0" applyFont="1" applyFill="1" applyBorder="1" applyAlignment="1" applyProtection="1">
      <alignment horizontal="center" vertical="center"/>
      <protection/>
    </xf>
    <xf numFmtId="0" fontId="20" fillId="27" borderId="23" xfId="0" applyFont="1" applyFill="1" applyBorder="1" applyAlignment="1" applyProtection="1">
      <alignment horizontal="center" vertical="center"/>
      <protection/>
    </xf>
    <xf numFmtId="0" fontId="20" fillId="27" borderId="19" xfId="0" applyFont="1" applyFill="1" applyBorder="1" applyAlignment="1" applyProtection="1">
      <alignment horizontal="center" vertical="center"/>
      <protection/>
    </xf>
    <xf numFmtId="0" fontId="20" fillId="27" borderId="20" xfId="0" applyFont="1" applyFill="1" applyBorder="1" applyAlignment="1" applyProtection="1">
      <alignment horizontal="center" vertical="center"/>
      <protection/>
    </xf>
    <xf numFmtId="0" fontId="20" fillId="27" borderId="21" xfId="0" applyFont="1" applyFill="1" applyBorder="1" applyAlignment="1" applyProtection="1">
      <alignment horizontal="center" vertical="center"/>
      <protection/>
    </xf>
    <xf numFmtId="0" fontId="20" fillId="27" borderId="16" xfId="0" applyFont="1" applyFill="1" applyBorder="1" applyAlignment="1" applyProtection="1">
      <alignment horizontal="center" vertical="center"/>
      <protection/>
    </xf>
    <xf numFmtId="0" fontId="42" fillId="37" borderId="25" xfId="0" applyFont="1" applyFill="1" applyBorder="1" applyAlignment="1" applyProtection="1">
      <alignment horizontal="center" vertical="center"/>
      <protection locked="0"/>
    </xf>
    <xf numFmtId="0" fontId="42" fillId="37" borderId="53" xfId="0" applyFont="1" applyFill="1" applyBorder="1" applyAlignment="1" applyProtection="1">
      <alignment horizontal="center" vertical="center"/>
      <protection locked="0"/>
    </xf>
    <xf numFmtId="0" fontId="42" fillId="37" borderId="54" xfId="0" applyFont="1" applyFill="1" applyBorder="1" applyAlignment="1" applyProtection="1">
      <alignment horizontal="center" vertical="center"/>
      <protection locked="0"/>
    </xf>
    <xf numFmtId="0" fontId="140" fillId="34" borderId="0" xfId="0" applyFont="1" applyFill="1" applyBorder="1" applyAlignment="1" applyProtection="1">
      <alignment horizontal="center"/>
      <protection/>
    </xf>
    <xf numFmtId="0" fontId="140" fillId="34" borderId="0" xfId="0" applyFont="1" applyFill="1" applyBorder="1" applyAlignment="1" applyProtection="1">
      <alignment horizontal="center" vertical="top"/>
      <protection/>
    </xf>
    <xf numFmtId="0" fontId="28" fillId="45" borderId="0" xfId="0" applyFont="1" applyFill="1" applyBorder="1" applyAlignment="1" applyProtection="1">
      <alignment horizontal="center" vertical="center"/>
      <protection/>
    </xf>
    <xf numFmtId="0" fontId="141" fillId="34" borderId="0" xfId="0" applyFont="1" applyFill="1" applyAlignment="1" applyProtection="1">
      <alignment horizontal="center" vertical="center"/>
      <protection/>
    </xf>
    <xf numFmtId="0" fontId="47" fillId="45" borderId="0" xfId="0" applyFont="1" applyFill="1" applyBorder="1" applyAlignment="1" applyProtection="1">
      <alignment horizontal="center" vertical="center"/>
      <protection/>
    </xf>
    <xf numFmtId="0" fontId="51" fillId="30" borderId="31" xfId="0" applyFont="1" applyFill="1" applyBorder="1" applyAlignment="1" applyProtection="1">
      <alignment horizontal="center" vertical="center"/>
      <protection/>
    </xf>
    <xf numFmtId="0" fontId="51" fillId="30" borderId="24" xfId="0" applyFont="1" applyFill="1" applyBorder="1" applyAlignment="1" applyProtection="1">
      <alignment horizontal="center" vertical="center"/>
      <protection/>
    </xf>
    <xf numFmtId="0" fontId="51" fillId="30" borderId="22" xfId="0" applyFont="1" applyFill="1" applyBorder="1" applyAlignment="1" applyProtection="1">
      <alignment horizontal="center" vertical="center"/>
      <protection/>
    </xf>
    <xf numFmtId="0" fontId="29" fillId="30" borderId="14" xfId="0" applyFont="1" applyFill="1" applyBorder="1" applyAlignment="1" applyProtection="1">
      <alignment horizontal="center" vertical="center" wrapText="1"/>
      <protection/>
    </xf>
    <xf numFmtId="0" fontId="29" fillId="30" borderId="20" xfId="0" applyFont="1" applyFill="1" applyBorder="1" applyAlignment="1" applyProtection="1">
      <alignment horizontal="center" vertical="center" wrapText="1"/>
      <protection/>
    </xf>
    <xf numFmtId="0" fontId="46" fillId="30" borderId="14" xfId="0" applyFont="1" applyFill="1" applyBorder="1" applyAlignment="1" applyProtection="1">
      <alignment horizontal="center" vertical="center"/>
      <protection/>
    </xf>
    <xf numFmtId="0" fontId="46" fillId="30" borderId="23" xfId="0" applyFont="1" applyFill="1" applyBorder="1" applyAlignment="1" applyProtection="1">
      <alignment horizontal="center" vertical="center"/>
      <protection/>
    </xf>
    <xf numFmtId="0" fontId="46" fillId="30" borderId="19" xfId="0" applyFont="1" applyFill="1" applyBorder="1" applyAlignment="1" applyProtection="1">
      <alignment horizontal="center" vertical="center"/>
      <protection/>
    </xf>
    <xf numFmtId="0" fontId="28" fillId="30" borderId="20" xfId="0" applyFont="1" applyFill="1" applyBorder="1" applyAlignment="1" applyProtection="1">
      <alignment horizontal="center" vertical="center"/>
      <protection/>
    </xf>
    <xf numFmtId="0" fontId="28" fillId="30" borderId="21" xfId="0" applyFont="1" applyFill="1" applyBorder="1" applyAlignment="1" applyProtection="1">
      <alignment horizontal="center" vertical="center"/>
      <protection/>
    </xf>
    <xf numFmtId="0" fontId="28" fillId="30" borderId="16" xfId="0" applyFont="1" applyFill="1" applyBorder="1" applyAlignment="1" applyProtection="1">
      <alignment horizontal="center" vertical="center"/>
      <protection/>
    </xf>
    <xf numFmtId="0" fontId="46" fillId="30" borderId="18" xfId="0" applyFont="1" applyFill="1" applyBorder="1" applyAlignment="1" applyProtection="1">
      <alignment horizontal="center" vertical="center"/>
      <protection/>
    </xf>
    <xf numFmtId="0" fontId="46" fillId="30" borderId="0" xfId="0" applyFont="1" applyFill="1" applyBorder="1" applyAlignment="1" applyProtection="1">
      <alignment horizontal="center" vertical="center"/>
      <protection/>
    </xf>
    <xf numFmtId="0" fontId="46" fillId="30" borderId="15" xfId="0" applyFont="1" applyFill="1" applyBorder="1" applyAlignment="1" applyProtection="1">
      <alignment horizontal="center" vertical="center"/>
      <protection/>
    </xf>
    <xf numFmtId="14" fontId="28" fillId="30" borderId="18" xfId="0" applyNumberFormat="1" applyFont="1" applyFill="1" applyBorder="1" applyAlignment="1" applyProtection="1">
      <alignment horizontal="center" vertical="center"/>
      <protection/>
    </xf>
    <xf numFmtId="14" fontId="28" fillId="30" borderId="0" xfId="0" applyNumberFormat="1" applyFont="1" applyFill="1" applyBorder="1" applyAlignment="1" applyProtection="1">
      <alignment horizontal="center" vertical="center"/>
      <protection/>
    </xf>
    <xf numFmtId="14" fontId="28" fillId="30" borderId="15" xfId="0" applyNumberFormat="1" applyFont="1" applyFill="1" applyBorder="1" applyAlignment="1" applyProtection="1">
      <alignment horizontal="center" vertical="center"/>
      <protection/>
    </xf>
    <xf numFmtId="0" fontId="42" fillId="27" borderId="0" xfId="0" applyFont="1" applyFill="1" applyBorder="1" applyAlignment="1" applyProtection="1">
      <alignment horizontal="center" vertical="center"/>
      <protection/>
    </xf>
    <xf numFmtId="0" fontId="28" fillId="30" borderId="18" xfId="0" applyFont="1" applyFill="1" applyBorder="1" applyAlignment="1" applyProtection="1">
      <alignment horizontal="center" vertical="center"/>
      <protection/>
    </xf>
    <xf numFmtId="0" fontId="28" fillId="30" borderId="0" xfId="0" applyFont="1" applyFill="1" applyBorder="1" applyAlignment="1" applyProtection="1">
      <alignment horizontal="center" vertical="center"/>
      <protection/>
    </xf>
    <xf numFmtId="0" fontId="28" fillId="30" borderId="15" xfId="0" applyFont="1" applyFill="1" applyBorder="1" applyAlignment="1" applyProtection="1">
      <alignment horizontal="center" vertical="center"/>
      <protection/>
    </xf>
    <xf numFmtId="0" fontId="23" fillId="30" borderId="47" xfId="0" applyFont="1" applyFill="1" applyBorder="1" applyAlignment="1" applyProtection="1">
      <alignment horizontal="center" vertical="center" wrapText="1"/>
      <protection/>
    </xf>
    <xf numFmtId="0" fontId="23" fillId="30" borderId="17" xfId="0" applyFont="1" applyFill="1" applyBorder="1" applyAlignment="1" applyProtection="1">
      <alignment horizontal="center" vertical="center" wrapText="1"/>
      <protection/>
    </xf>
    <xf numFmtId="0" fontId="23" fillId="30" borderId="12" xfId="0" applyFont="1" applyFill="1" applyBorder="1" applyAlignment="1" applyProtection="1">
      <alignment horizontal="center" vertical="center" wrapText="1"/>
      <protection/>
    </xf>
    <xf numFmtId="0" fontId="28" fillId="30" borderId="31" xfId="0" applyFont="1" applyFill="1" applyBorder="1" applyAlignment="1" applyProtection="1">
      <alignment horizontal="center" vertical="center"/>
      <protection/>
    </xf>
    <xf numFmtId="0" fontId="28" fillId="30" borderId="24" xfId="0" applyFont="1" applyFill="1" applyBorder="1" applyAlignment="1" applyProtection="1">
      <alignment horizontal="center" vertical="center"/>
      <protection/>
    </xf>
    <xf numFmtId="0" fontId="28" fillId="30" borderId="22" xfId="0" applyFont="1" applyFill="1" applyBorder="1" applyAlignment="1" applyProtection="1">
      <alignment horizontal="center" vertical="center"/>
      <protection/>
    </xf>
    <xf numFmtId="0" fontId="23" fillId="7" borderId="55" xfId="0" applyFont="1" applyFill="1" applyBorder="1" applyAlignment="1" applyProtection="1">
      <alignment horizontal="center" vertical="center"/>
      <protection/>
    </xf>
    <xf numFmtId="0" fontId="23" fillId="7" borderId="56" xfId="0" applyFont="1" applyFill="1" applyBorder="1" applyAlignment="1" applyProtection="1">
      <alignment horizontal="center" vertical="center"/>
      <protection/>
    </xf>
    <xf numFmtId="0" fontId="23" fillId="7" borderId="57" xfId="0" applyFont="1" applyFill="1" applyBorder="1" applyAlignment="1" applyProtection="1">
      <alignment horizontal="center" vertical="center"/>
      <protection/>
    </xf>
    <xf numFmtId="0" fontId="23" fillId="7" borderId="58" xfId="0" applyFont="1" applyFill="1" applyBorder="1" applyAlignment="1" applyProtection="1">
      <alignment horizontal="center" vertical="center"/>
      <protection/>
    </xf>
    <xf numFmtId="0" fontId="17" fillId="36" borderId="18" xfId="0" applyFont="1" applyFill="1" applyBorder="1" applyAlignment="1" applyProtection="1">
      <alignment horizontal="center" vertical="center"/>
      <protection/>
    </xf>
    <xf numFmtId="0" fontId="17" fillId="36" borderId="0" xfId="0" applyFont="1" applyFill="1" applyAlignment="1" applyProtection="1">
      <alignment horizontal="center" vertical="center"/>
      <protection/>
    </xf>
    <xf numFmtId="0" fontId="142" fillId="34" borderId="0" xfId="0" applyFont="1" applyFill="1" applyAlignment="1" applyProtection="1">
      <alignment horizontal="right"/>
      <protection/>
    </xf>
    <xf numFmtId="0" fontId="143" fillId="34" borderId="0" xfId="0" applyFont="1" applyFill="1" applyBorder="1" applyAlignment="1" applyProtection="1">
      <alignment horizontal="right"/>
      <protection/>
    </xf>
    <xf numFmtId="0" fontId="143" fillId="34" borderId="0" xfId="0" applyFont="1" applyFill="1" applyAlignment="1" applyProtection="1">
      <alignment horizontal="right"/>
      <protection/>
    </xf>
    <xf numFmtId="0" fontId="142" fillId="34" borderId="0" xfId="0" applyFont="1" applyFill="1" applyBorder="1" applyAlignment="1" applyProtection="1">
      <alignment horizontal="right"/>
      <protection/>
    </xf>
    <xf numFmtId="0" fontId="48" fillId="36" borderId="18" xfId="0" applyFont="1" applyFill="1" applyBorder="1" applyAlignment="1" applyProtection="1">
      <alignment horizontal="center" vertical="center"/>
      <protection/>
    </xf>
    <xf numFmtId="0" fontId="48" fillId="36" borderId="0" xfId="0" applyFont="1" applyFill="1" applyAlignment="1" applyProtection="1">
      <alignment horizontal="center" vertical="center"/>
      <protection/>
    </xf>
    <xf numFmtId="0" fontId="52" fillId="34" borderId="0" xfId="0" applyFont="1" applyFill="1" applyBorder="1" applyAlignment="1" applyProtection="1">
      <alignment horizontal="center" vertical="center"/>
      <protection/>
    </xf>
    <xf numFmtId="0" fontId="144" fillId="34" borderId="0" xfId="0" applyFont="1" applyFill="1" applyAlignment="1" applyProtection="1">
      <alignment horizontal="center" vertical="center"/>
      <protection/>
    </xf>
    <xf numFmtId="0" fontId="48" fillId="36" borderId="0" xfId="0" applyFont="1" applyFill="1" applyBorder="1" applyAlignment="1" applyProtection="1">
      <alignment horizontal="center" vertical="center"/>
      <protection/>
    </xf>
    <xf numFmtId="0" fontId="17" fillId="36" borderId="0" xfId="0" applyFont="1" applyFill="1" applyBorder="1" applyAlignment="1" applyProtection="1">
      <alignment horizontal="center" vertical="center"/>
      <protection/>
    </xf>
    <xf numFmtId="0" fontId="50" fillId="30" borderId="47" xfId="0" applyFont="1" applyFill="1" applyBorder="1" applyAlignment="1" applyProtection="1">
      <alignment horizontal="center" vertical="center" textRotation="90"/>
      <protection/>
    </xf>
    <xf numFmtId="0" fontId="50" fillId="30" borderId="17" xfId="0" applyFont="1" applyFill="1" applyBorder="1" applyAlignment="1" applyProtection="1">
      <alignment horizontal="center" vertical="center" textRotation="90"/>
      <protection/>
    </xf>
    <xf numFmtId="0" fontId="50" fillId="30" borderId="12" xfId="0" applyFont="1" applyFill="1" applyBorder="1" applyAlignment="1" applyProtection="1">
      <alignment horizontal="center" vertical="center" textRotation="90"/>
      <protection/>
    </xf>
    <xf numFmtId="16" fontId="50" fillId="30" borderId="47" xfId="0" applyNumberFormat="1" applyFont="1" applyFill="1" applyBorder="1" applyAlignment="1" applyProtection="1" quotePrefix="1">
      <alignment horizontal="center" vertical="center" textRotation="90" wrapText="1"/>
      <protection hidden="1"/>
    </xf>
    <xf numFmtId="16" fontId="50" fillId="30" borderId="12" xfId="0" applyNumberFormat="1" applyFont="1" applyFill="1" applyBorder="1" applyAlignment="1" applyProtection="1" quotePrefix="1">
      <alignment horizontal="center" vertical="center" textRotation="90" wrapText="1"/>
      <protection hidden="1"/>
    </xf>
    <xf numFmtId="0" fontId="50" fillId="30" borderId="47" xfId="0" applyFont="1" applyFill="1" applyBorder="1" applyAlignment="1" applyProtection="1" quotePrefix="1">
      <alignment horizontal="center" vertical="center" textRotation="90" wrapText="1"/>
      <protection hidden="1"/>
    </xf>
    <xf numFmtId="0" fontId="50" fillId="30" borderId="12" xfId="0" applyFont="1" applyFill="1" applyBorder="1" applyAlignment="1" applyProtection="1">
      <alignment horizontal="center" vertical="center" textRotation="90" wrapText="1"/>
      <protection hidden="1"/>
    </xf>
    <xf numFmtId="0" fontId="29" fillId="30" borderId="47" xfId="0" applyFont="1" applyFill="1" applyBorder="1" applyAlignment="1" applyProtection="1">
      <alignment horizontal="center" vertical="center" textRotation="90"/>
      <protection/>
    </xf>
    <xf numFmtId="0" fontId="29" fillId="30" borderId="17" xfId="0" applyFont="1" applyFill="1" applyBorder="1" applyAlignment="1" applyProtection="1">
      <alignment horizontal="center" vertical="center" textRotation="90"/>
      <protection/>
    </xf>
    <xf numFmtId="0" fontId="29" fillId="30" borderId="12" xfId="0" applyFont="1" applyFill="1" applyBorder="1" applyAlignment="1" applyProtection="1">
      <alignment horizontal="center" vertical="center" textRotation="90"/>
      <protection/>
    </xf>
    <xf numFmtId="0" fontId="50" fillId="30" borderId="19" xfId="0" applyNumberFormat="1" applyFont="1" applyFill="1" applyBorder="1" applyAlignment="1" applyProtection="1" quotePrefix="1">
      <alignment horizontal="center" vertical="center" textRotation="90" wrapText="1"/>
      <protection hidden="1"/>
    </xf>
    <xf numFmtId="0" fontId="50" fillId="30" borderId="16" xfId="0" applyNumberFormat="1" applyFont="1" applyFill="1" applyBorder="1" applyAlignment="1" applyProtection="1">
      <alignment horizontal="center" vertical="center" textRotation="90" wrapText="1"/>
      <protection hidden="1"/>
    </xf>
    <xf numFmtId="0" fontId="50" fillId="30" borderId="14" xfId="0" applyFont="1" applyFill="1" applyBorder="1" applyAlignment="1" applyProtection="1">
      <alignment horizontal="center" vertical="center" textRotation="90" wrapText="1"/>
      <protection hidden="1"/>
    </xf>
    <xf numFmtId="0" fontId="50" fillId="30" borderId="20" xfId="0" applyFont="1" applyFill="1" applyBorder="1" applyAlignment="1" applyProtection="1">
      <alignment horizontal="center" vertical="center" textRotation="90" wrapText="1"/>
      <protection hidden="1"/>
    </xf>
    <xf numFmtId="0" fontId="50" fillId="30" borderId="59" xfId="0" applyFont="1" applyFill="1" applyBorder="1" applyAlignment="1" applyProtection="1">
      <alignment horizontal="center" vertical="center" textRotation="90" wrapText="1"/>
      <protection hidden="1"/>
    </xf>
    <xf numFmtId="0" fontId="50" fillId="30" borderId="60" xfId="0" applyFont="1" applyFill="1" applyBorder="1" applyAlignment="1" applyProtection="1">
      <alignment horizontal="center" vertical="center" textRotation="90" wrapText="1"/>
      <protection hidden="1"/>
    </xf>
    <xf numFmtId="0" fontId="122" fillId="49" borderId="21" xfId="0" applyFont="1" applyFill="1" applyBorder="1" applyAlignment="1" applyProtection="1">
      <alignment horizontal="center" vertical="center"/>
      <protection/>
    </xf>
    <xf numFmtId="0" fontId="50" fillId="30" borderId="19" xfId="0" applyFont="1" applyFill="1" applyBorder="1" applyAlignment="1" applyProtection="1" quotePrefix="1">
      <alignment horizontal="center" vertical="center" textRotation="90" wrapText="1"/>
      <protection hidden="1"/>
    </xf>
    <xf numFmtId="0" fontId="50" fillId="30" borderId="16" xfId="0" applyFont="1" applyFill="1" applyBorder="1" applyAlignment="1" applyProtection="1">
      <alignment horizontal="center" vertical="center" textRotation="90" wrapText="1"/>
      <protection hidden="1"/>
    </xf>
    <xf numFmtId="0" fontId="3" fillId="0" borderId="31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57" fillId="0" borderId="14" xfId="0" applyFont="1" applyBorder="1" applyAlignment="1" applyProtection="1">
      <alignment horizontal="center" vertical="center"/>
      <protection/>
    </xf>
    <xf numFmtId="0" fontId="57" fillId="0" borderId="23" xfId="0" applyFont="1" applyBorder="1" applyAlignment="1" applyProtection="1">
      <alignment horizontal="center" vertical="center"/>
      <protection/>
    </xf>
    <xf numFmtId="0" fontId="57" fillId="0" borderId="19" xfId="0" applyFont="1" applyBorder="1" applyAlignment="1" applyProtection="1">
      <alignment horizontal="center" vertical="center"/>
      <protection/>
    </xf>
    <xf numFmtId="0" fontId="56" fillId="0" borderId="23" xfId="0" applyFont="1" applyBorder="1" applyAlignment="1" applyProtection="1">
      <alignment horizontal="center" vertical="center"/>
      <protection hidden="1"/>
    </xf>
    <xf numFmtId="0" fontId="56" fillId="0" borderId="0" xfId="0" applyFont="1" applyAlignment="1" applyProtection="1">
      <alignment horizontal="center" vertical="center"/>
      <protection hidden="1"/>
    </xf>
    <xf numFmtId="0" fontId="54" fillId="35" borderId="18" xfId="0" applyFont="1" applyFill="1" applyBorder="1" applyAlignment="1" applyProtection="1">
      <alignment horizontal="center" vertical="center"/>
      <protection hidden="1"/>
    </xf>
    <xf numFmtId="0" fontId="54" fillId="35" borderId="0" xfId="0" applyFont="1" applyFill="1" applyBorder="1" applyAlignment="1" applyProtection="1">
      <alignment horizontal="center" vertical="center"/>
      <protection hidden="1"/>
    </xf>
    <xf numFmtId="0" fontId="2" fillId="45" borderId="31" xfId="0" applyFont="1" applyFill="1" applyBorder="1" applyAlignment="1" applyProtection="1">
      <alignment horizontal="center" vertical="center"/>
      <protection/>
    </xf>
    <xf numFmtId="0" fontId="2" fillId="45" borderId="24" xfId="0" applyFont="1" applyFill="1" applyBorder="1" applyAlignment="1" applyProtection="1">
      <alignment horizontal="center" vertical="center"/>
      <protection/>
    </xf>
    <xf numFmtId="0" fontId="2" fillId="45" borderId="22" xfId="0" applyFont="1" applyFill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5" fillId="37" borderId="0" xfId="0" applyFont="1" applyFill="1" applyBorder="1" applyAlignment="1" applyProtection="1">
      <alignment horizontal="center" vertical="center"/>
      <protection/>
    </xf>
    <xf numFmtId="0" fontId="25" fillId="37" borderId="15" xfId="0" applyFont="1" applyFill="1" applyBorder="1" applyAlignment="1" applyProtection="1">
      <alignment horizontal="center" vertical="center"/>
      <protection/>
    </xf>
    <xf numFmtId="0" fontId="25" fillId="37" borderId="0" xfId="0" applyFont="1" applyFill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6" fillId="0" borderId="18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177" fontId="2" fillId="0" borderId="0" xfId="0" applyNumberFormat="1" applyFont="1" applyAlignment="1" applyProtection="1">
      <alignment horizontal="center" vertical="center"/>
      <protection/>
    </xf>
    <xf numFmtId="0" fontId="40" fillId="4" borderId="61" xfId="0" applyFont="1" applyFill="1" applyBorder="1" applyAlignment="1" applyProtection="1">
      <alignment horizontal="center" vertical="center"/>
      <protection/>
    </xf>
    <xf numFmtId="0" fontId="40" fillId="4" borderId="62" xfId="0" applyFont="1" applyFill="1" applyBorder="1" applyAlignment="1" applyProtection="1">
      <alignment horizontal="center" vertical="center"/>
      <protection/>
    </xf>
    <xf numFmtId="0" fontId="40" fillId="4" borderId="63" xfId="0" applyFont="1" applyFill="1" applyBorder="1" applyAlignment="1" applyProtection="1">
      <alignment horizontal="center" vertical="center"/>
      <protection/>
    </xf>
    <xf numFmtId="0" fontId="41" fillId="4" borderId="64" xfId="0" applyFont="1" applyFill="1" applyBorder="1" applyAlignment="1" applyProtection="1">
      <alignment horizontal="center" vertical="center"/>
      <protection/>
    </xf>
    <xf numFmtId="0" fontId="41" fillId="4" borderId="65" xfId="0" applyFont="1" applyFill="1" applyBorder="1" applyAlignment="1" applyProtection="1">
      <alignment horizontal="center" vertical="center"/>
      <protection/>
    </xf>
    <xf numFmtId="0" fontId="41" fillId="4" borderId="6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0" fillId="7" borderId="31" xfId="0" applyFont="1" applyFill="1" applyBorder="1" applyAlignment="1">
      <alignment horizontal="center" vertical="center"/>
    </xf>
    <xf numFmtId="0" fontId="50" fillId="7" borderId="24" xfId="0" applyFont="1" applyFill="1" applyBorder="1" applyAlignment="1">
      <alignment horizontal="center" vertical="center"/>
    </xf>
    <xf numFmtId="0" fontId="50" fillId="7" borderId="22" xfId="0" applyFont="1" applyFill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145" fillId="0" borderId="0" xfId="0" applyFont="1" applyAlignment="1">
      <alignment horizontal="left" vertical="center"/>
    </xf>
    <xf numFmtId="0" fontId="23" fillId="45" borderId="67" xfId="0" applyFont="1" applyFill="1" applyBorder="1" applyAlignment="1">
      <alignment horizontal="center" vertical="center"/>
    </xf>
    <xf numFmtId="0" fontId="23" fillId="45" borderId="68" xfId="0" applyFont="1" applyFill="1" applyBorder="1" applyAlignment="1">
      <alignment horizontal="center" vertical="center"/>
    </xf>
    <xf numFmtId="0" fontId="23" fillId="45" borderId="69" xfId="0" applyFont="1" applyFill="1" applyBorder="1" applyAlignment="1">
      <alignment horizontal="center" vertical="center"/>
    </xf>
    <xf numFmtId="14" fontId="145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color rgb="FFFF0000"/>
      </font>
      <fill>
        <patternFill>
          <bgColor rgb="FF66FFFF"/>
        </patternFill>
      </fill>
    </dxf>
    <dxf>
      <font>
        <b/>
        <i val="0"/>
        <color rgb="FFFF3300"/>
      </font>
    </dxf>
    <dxf>
      <font>
        <b/>
        <i val="0"/>
        <color rgb="FFFF3300"/>
      </font>
      <border/>
    </dxf>
    <dxf>
      <font>
        <color rgb="FFFF0000"/>
      </font>
      <fill>
        <patternFill>
          <bgColor rgb="FF66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hase de poule'!A1" /><Relationship Id="rId2" Type="http://schemas.openxmlformats.org/officeDocument/2006/relationships/hyperlink" Target="#'Feuille de match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lassement!A1" /><Relationship Id="rId2" Type="http://schemas.openxmlformats.org/officeDocument/2006/relationships/hyperlink" Target="#Participant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Phase finale'!A1" /><Relationship Id="rId2" Type="http://schemas.openxmlformats.org/officeDocument/2006/relationships/hyperlink" Target="#'Phase de poule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Feuille de match'!A1" /><Relationship Id="rId2" Type="http://schemas.openxmlformats.org/officeDocument/2006/relationships/hyperlink" Target="#Classement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Phase finale'!A1" /><Relationship Id="rId2" Type="http://schemas.openxmlformats.org/officeDocument/2006/relationships/hyperlink" Target="#Participant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14</xdr:row>
      <xdr:rowOff>38100</xdr:rowOff>
    </xdr:from>
    <xdr:to>
      <xdr:col>12</xdr:col>
      <xdr:colOff>457200</xdr:colOff>
      <xdr:row>17</xdr:row>
      <xdr:rowOff>28575</xdr:rowOff>
    </xdr:to>
    <xdr:sp>
      <xdr:nvSpPr>
        <xdr:cNvPr id="1" name="Plaque 2">
          <a:hlinkClick r:id="rId1"/>
        </xdr:cNvPr>
        <xdr:cNvSpPr>
          <a:spLocks/>
        </xdr:cNvSpPr>
      </xdr:nvSpPr>
      <xdr:spPr>
        <a:xfrm>
          <a:off x="8601075" y="3009900"/>
          <a:ext cx="1847850" cy="485775"/>
        </a:xfrm>
        <a:prstGeom prst="bevel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Phase de </a:t>
          </a:r>
          <a:r>
            <a:rPr lang="en-US" cap="none" sz="1400" b="1" i="0" u="none" baseline="0">
              <a:solidFill>
                <a:srgbClr val="0000FF"/>
              </a:solidFill>
            </a:rPr>
            <a:t>Poule</a:t>
          </a:r>
        </a:p>
      </xdr:txBody>
    </xdr:sp>
    <xdr:clientData fLocksWithSheet="0" fPrintsWithSheet="0"/>
  </xdr:twoCellAnchor>
  <xdr:twoCellAnchor>
    <xdr:from>
      <xdr:col>10</xdr:col>
      <xdr:colOff>171450</xdr:colOff>
      <xdr:row>17</xdr:row>
      <xdr:rowOff>180975</xdr:rowOff>
    </xdr:from>
    <xdr:to>
      <xdr:col>12</xdr:col>
      <xdr:colOff>466725</xdr:colOff>
      <xdr:row>19</xdr:row>
      <xdr:rowOff>219075</xdr:rowOff>
    </xdr:to>
    <xdr:sp>
      <xdr:nvSpPr>
        <xdr:cNvPr id="2" name="Plaque 3">
          <a:hlinkClick r:id="rId2"/>
        </xdr:cNvPr>
        <xdr:cNvSpPr>
          <a:spLocks/>
        </xdr:cNvSpPr>
      </xdr:nvSpPr>
      <xdr:spPr>
        <a:xfrm>
          <a:off x="8610600" y="3648075"/>
          <a:ext cx="1847850" cy="495300"/>
        </a:xfrm>
        <a:prstGeom prst="bevel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Feuille</a:t>
          </a:r>
          <a:r>
            <a:rPr lang="en-US" cap="none" sz="1400" b="1" i="0" u="none" baseline="0">
              <a:solidFill>
                <a:srgbClr val="0000FF"/>
              </a:solidFill>
            </a:rPr>
            <a:t> de Match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6</xdr:row>
      <xdr:rowOff>95250</xdr:rowOff>
    </xdr:from>
    <xdr:to>
      <xdr:col>12</xdr:col>
      <xdr:colOff>95250</xdr:colOff>
      <xdr:row>8</xdr:row>
      <xdr:rowOff>85725</xdr:rowOff>
    </xdr:to>
    <xdr:sp>
      <xdr:nvSpPr>
        <xdr:cNvPr id="1" name="Plaque 2">
          <a:hlinkClick r:id="rId1"/>
        </xdr:cNvPr>
        <xdr:cNvSpPr>
          <a:spLocks/>
        </xdr:cNvSpPr>
      </xdr:nvSpPr>
      <xdr:spPr>
        <a:xfrm>
          <a:off x="6734175" y="2276475"/>
          <a:ext cx="1847850" cy="485775"/>
        </a:xfrm>
        <a:prstGeom prst="bevel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Classement</a:t>
          </a:r>
        </a:p>
      </xdr:txBody>
    </xdr:sp>
    <xdr:clientData/>
  </xdr:twoCellAnchor>
  <xdr:twoCellAnchor>
    <xdr:from>
      <xdr:col>8</xdr:col>
      <xdr:colOff>523875</xdr:colOff>
      <xdr:row>20</xdr:row>
      <xdr:rowOff>171450</xdr:rowOff>
    </xdr:from>
    <xdr:to>
      <xdr:col>12</xdr:col>
      <xdr:colOff>123825</xdr:colOff>
      <xdr:row>22</xdr:row>
      <xdr:rowOff>161925</xdr:rowOff>
    </xdr:to>
    <xdr:sp>
      <xdr:nvSpPr>
        <xdr:cNvPr id="2" name="Plaque 3">
          <a:hlinkClick r:id="rId2"/>
        </xdr:cNvPr>
        <xdr:cNvSpPr>
          <a:spLocks/>
        </xdr:cNvSpPr>
      </xdr:nvSpPr>
      <xdr:spPr>
        <a:xfrm>
          <a:off x="6762750" y="5819775"/>
          <a:ext cx="1847850" cy="485775"/>
        </a:xfrm>
        <a:prstGeom prst="bevel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Participants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2</xdr:col>
      <xdr:colOff>885825</xdr:colOff>
      <xdr:row>2</xdr:row>
      <xdr:rowOff>171450</xdr:rowOff>
    </xdr:to>
    <xdr:sp>
      <xdr:nvSpPr>
        <xdr:cNvPr id="1" name="Plaque 1">
          <a:hlinkClick r:id="rId1"/>
        </xdr:cNvPr>
        <xdr:cNvSpPr>
          <a:spLocks/>
        </xdr:cNvSpPr>
      </xdr:nvSpPr>
      <xdr:spPr>
        <a:xfrm>
          <a:off x="47625" y="333375"/>
          <a:ext cx="1276350" cy="390525"/>
        </a:xfrm>
        <a:prstGeom prst="bevel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Phase</a:t>
          </a:r>
          <a:r>
            <a:rPr lang="en-US" cap="none" sz="1400" b="1" i="0" u="none" baseline="0">
              <a:solidFill>
                <a:srgbClr val="0000FF"/>
              </a:solidFill>
            </a:rPr>
            <a:t> Finale</a:t>
          </a:r>
        </a:p>
      </xdr:txBody>
    </xdr:sp>
    <xdr:clientData/>
  </xdr:twoCellAnchor>
  <xdr:twoCellAnchor>
    <xdr:from>
      <xdr:col>2</xdr:col>
      <xdr:colOff>1085850</xdr:colOff>
      <xdr:row>1</xdr:row>
      <xdr:rowOff>19050</xdr:rowOff>
    </xdr:from>
    <xdr:to>
      <xdr:col>4</xdr:col>
      <xdr:colOff>200025</xdr:colOff>
      <xdr:row>2</xdr:row>
      <xdr:rowOff>171450</xdr:rowOff>
    </xdr:to>
    <xdr:sp>
      <xdr:nvSpPr>
        <xdr:cNvPr id="2" name="Plaque 2">
          <a:hlinkClick r:id="rId2"/>
        </xdr:cNvPr>
        <xdr:cNvSpPr>
          <a:spLocks/>
        </xdr:cNvSpPr>
      </xdr:nvSpPr>
      <xdr:spPr>
        <a:xfrm>
          <a:off x="1524000" y="333375"/>
          <a:ext cx="1285875" cy="390525"/>
        </a:xfrm>
        <a:prstGeom prst="bevel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Phase</a:t>
          </a:r>
          <a:r>
            <a:rPr lang="en-US" cap="none" sz="1400" b="1" i="0" u="none" baseline="0">
              <a:solidFill>
                <a:srgbClr val="0000FF"/>
              </a:solidFill>
            </a:rPr>
            <a:t> de Poule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2</xdr:row>
      <xdr:rowOff>200025</xdr:rowOff>
    </xdr:from>
    <xdr:to>
      <xdr:col>13</xdr:col>
      <xdr:colOff>123825</xdr:colOff>
      <xdr:row>3</xdr:row>
      <xdr:rowOff>180975</xdr:rowOff>
    </xdr:to>
    <xdr:sp>
      <xdr:nvSpPr>
        <xdr:cNvPr id="1" name="Plaque 1">
          <a:hlinkClick r:id="rId1"/>
        </xdr:cNvPr>
        <xdr:cNvSpPr>
          <a:spLocks/>
        </xdr:cNvSpPr>
      </xdr:nvSpPr>
      <xdr:spPr>
        <a:xfrm>
          <a:off x="6762750" y="1133475"/>
          <a:ext cx="1847850" cy="485775"/>
        </a:xfrm>
        <a:prstGeom prst="bevel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Feuille</a:t>
          </a:r>
          <a:r>
            <a:rPr lang="en-US" cap="none" sz="1400" b="1" i="0" u="none" baseline="0">
              <a:solidFill>
                <a:srgbClr val="0000FF"/>
              </a:solidFill>
            </a:rPr>
            <a:t> de Match</a:t>
          </a:r>
        </a:p>
      </xdr:txBody>
    </xdr:sp>
    <xdr:clientData/>
  </xdr:twoCellAnchor>
  <xdr:twoCellAnchor>
    <xdr:from>
      <xdr:col>9</xdr:col>
      <xdr:colOff>533400</xdr:colOff>
      <xdr:row>4</xdr:row>
      <xdr:rowOff>152400</xdr:rowOff>
    </xdr:from>
    <xdr:to>
      <xdr:col>13</xdr:col>
      <xdr:colOff>133350</xdr:colOff>
      <xdr:row>6</xdr:row>
      <xdr:rowOff>9525</xdr:rowOff>
    </xdr:to>
    <xdr:sp>
      <xdr:nvSpPr>
        <xdr:cNvPr id="2" name="Plaque 2">
          <a:hlinkClick r:id="rId2"/>
        </xdr:cNvPr>
        <xdr:cNvSpPr>
          <a:spLocks/>
        </xdr:cNvSpPr>
      </xdr:nvSpPr>
      <xdr:spPr>
        <a:xfrm>
          <a:off x="6772275" y="1905000"/>
          <a:ext cx="1847850" cy="485775"/>
        </a:xfrm>
        <a:prstGeom prst="bevel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Classement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95250</xdr:rowOff>
    </xdr:from>
    <xdr:to>
      <xdr:col>1</xdr:col>
      <xdr:colOff>95250</xdr:colOff>
      <xdr:row>6</xdr:row>
      <xdr:rowOff>0</xdr:rowOff>
    </xdr:to>
    <xdr:sp>
      <xdr:nvSpPr>
        <xdr:cNvPr id="1" name="Plaque 2">
          <a:hlinkClick r:id="rId1"/>
        </xdr:cNvPr>
        <xdr:cNvSpPr>
          <a:spLocks/>
        </xdr:cNvSpPr>
      </xdr:nvSpPr>
      <xdr:spPr>
        <a:xfrm>
          <a:off x="66675" y="1085850"/>
          <a:ext cx="1190625" cy="304800"/>
        </a:xfrm>
        <a:prstGeom prst="bevel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Phase Finale</a:t>
          </a:r>
        </a:p>
      </xdr:txBody>
    </xdr:sp>
    <xdr:clientData/>
  </xdr:twoCellAnchor>
  <xdr:twoCellAnchor>
    <xdr:from>
      <xdr:col>0</xdr:col>
      <xdr:colOff>57150</xdr:colOff>
      <xdr:row>7</xdr:row>
      <xdr:rowOff>0</xdr:rowOff>
    </xdr:from>
    <xdr:to>
      <xdr:col>1</xdr:col>
      <xdr:colOff>85725</xdr:colOff>
      <xdr:row>8</xdr:row>
      <xdr:rowOff>104775</xdr:rowOff>
    </xdr:to>
    <xdr:sp>
      <xdr:nvSpPr>
        <xdr:cNvPr id="2" name="Plaque 3">
          <a:hlinkClick r:id="rId2"/>
        </xdr:cNvPr>
        <xdr:cNvSpPr>
          <a:spLocks/>
        </xdr:cNvSpPr>
      </xdr:nvSpPr>
      <xdr:spPr>
        <a:xfrm>
          <a:off x="57150" y="1524000"/>
          <a:ext cx="1190625" cy="304800"/>
        </a:xfrm>
        <a:prstGeom prst="bevel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Participants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L212"/>
  <sheetViews>
    <sheetView zoomScalePageLayoutView="0" workbookViewId="0" topLeftCell="A1">
      <selection activeCell="J27" sqref="J27"/>
    </sheetView>
  </sheetViews>
  <sheetFormatPr defaultColWidth="12" defaultRowHeight="12.75"/>
  <cols>
    <col min="1" max="1" width="13.33203125" style="254" bestFit="1" customWidth="1"/>
    <col min="2" max="2" width="10.66015625" style="254" bestFit="1" customWidth="1"/>
    <col min="3" max="3" width="5" style="254" bestFit="1" customWidth="1"/>
    <col min="4" max="4" width="29.66015625" style="254" bestFit="1" customWidth="1"/>
    <col min="5" max="5" width="32.5" style="254" bestFit="1" customWidth="1"/>
    <col min="6" max="6" width="11" style="278" bestFit="1" customWidth="1"/>
    <col min="7" max="7" width="10.66015625" style="254" bestFit="1" customWidth="1"/>
    <col min="8" max="8" width="12" style="254" customWidth="1"/>
    <col min="9" max="9" width="33.83203125" style="254" bestFit="1" customWidth="1"/>
    <col min="10" max="10" width="26.66015625" style="254" bestFit="1" customWidth="1"/>
    <col min="11" max="11" width="20.83203125" style="254" bestFit="1" customWidth="1"/>
    <col min="12" max="12" width="32.5" style="254" bestFit="1" customWidth="1"/>
    <col min="13" max="16384" width="12" style="254" customWidth="1"/>
  </cols>
  <sheetData>
    <row r="1" spans="1:7" ht="12.75">
      <c r="A1" s="253" t="s">
        <v>1</v>
      </c>
      <c r="B1" s="253" t="s">
        <v>2</v>
      </c>
      <c r="C1" s="253" t="s">
        <v>4</v>
      </c>
      <c r="D1" s="253" t="s">
        <v>43</v>
      </c>
      <c r="E1" s="253"/>
      <c r="F1" s="277"/>
      <c r="G1" s="253"/>
    </row>
    <row r="2" spans="1:12" ht="13.5">
      <c r="A2" s="253" t="s">
        <v>55</v>
      </c>
      <c r="B2" s="253" t="s">
        <v>71</v>
      </c>
      <c r="C2" s="253" t="s">
        <v>48</v>
      </c>
      <c r="D2" s="253" t="s">
        <v>45</v>
      </c>
      <c r="E2" s="253" t="s">
        <v>42</v>
      </c>
      <c r="F2" s="277" t="s">
        <v>44</v>
      </c>
      <c r="G2" s="253" t="s">
        <v>32</v>
      </c>
      <c r="I2" s="76" t="s">
        <v>61</v>
      </c>
      <c r="J2" s="76" t="s">
        <v>94</v>
      </c>
      <c r="K2" s="76" t="s">
        <v>95</v>
      </c>
      <c r="L2" s="76" t="s">
        <v>96</v>
      </c>
    </row>
    <row r="3" spans="1:12" ht="13.5">
      <c r="A3" s="253" t="s">
        <v>56</v>
      </c>
      <c r="B3" s="253" t="s">
        <v>72</v>
      </c>
      <c r="C3" s="253" t="s">
        <v>51</v>
      </c>
      <c r="D3" s="254" t="s">
        <v>231</v>
      </c>
      <c r="E3" s="254" t="s">
        <v>65</v>
      </c>
      <c r="F3" s="278" t="s">
        <v>65</v>
      </c>
      <c r="G3" s="253"/>
      <c r="I3" s="76" t="s">
        <v>121</v>
      </c>
      <c r="J3" s="76" t="s">
        <v>111</v>
      </c>
      <c r="K3" s="76" t="s">
        <v>112</v>
      </c>
      <c r="L3" s="76" t="s">
        <v>113</v>
      </c>
    </row>
    <row r="4" spans="1:12" ht="13.5">
      <c r="A4" s="253" t="s">
        <v>57</v>
      </c>
      <c r="B4" s="253" t="s">
        <v>47</v>
      </c>
      <c r="C4" s="253" t="s">
        <v>52</v>
      </c>
      <c r="D4" s="426" t="s">
        <v>331</v>
      </c>
      <c r="E4" s="426" t="s">
        <v>117</v>
      </c>
      <c r="F4" s="427" t="s">
        <v>308</v>
      </c>
      <c r="G4" s="253" t="s">
        <v>49</v>
      </c>
      <c r="I4" s="76" t="s">
        <v>60</v>
      </c>
      <c r="J4" s="76" t="s">
        <v>97</v>
      </c>
      <c r="K4" s="76" t="s">
        <v>98</v>
      </c>
      <c r="L4" s="76" t="s">
        <v>99</v>
      </c>
    </row>
    <row r="5" spans="1:12" ht="13.5">
      <c r="A5" s="253" t="s">
        <v>58</v>
      </c>
      <c r="B5" s="253" t="s">
        <v>66</v>
      </c>
      <c r="C5" s="253" t="s">
        <v>53</v>
      </c>
      <c r="D5" s="426" t="s">
        <v>524</v>
      </c>
      <c r="E5" s="426" t="s">
        <v>117</v>
      </c>
      <c r="F5" s="427" t="s">
        <v>525</v>
      </c>
      <c r="G5" s="253" t="s">
        <v>50</v>
      </c>
      <c r="I5" s="76" t="s">
        <v>62</v>
      </c>
      <c r="J5" s="76" t="s">
        <v>100</v>
      </c>
      <c r="K5" s="76" t="s">
        <v>101</v>
      </c>
      <c r="L5" s="76" t="s">
        <v>102</v>
      </c>
    </row>
    <row r="6" spans="1:12" ht="13.5">
      <c r="A6" s="253" t="s">
        <v>172</v>
      </c>
      <c r="B6" s="253" t="s">
        <v>67</v>
      </c>
      <c r="C6" s="253" t="s">
        <v>54</v>
      </c>
      <c r="D6" s="426" t="s">
        <v>526</v>
      </c>
      <c r="E6" s="426" t="s">
        <v>118</v>
      </c>
      <c r="F6" s="427" t="s">
        <v>527</v>
      </c>
      <c r="G6" s="253"/>
      <c r="I6" s="76" t="s">
        <v>63</v>
      </c>
      <c r="J6" s="76" t="s">
        <v>103</v>
      </c>
      <c r="K6" s="76" t="s">
        <v>104</v>
      </c>
      <c r="L6" s="76" t="s">
        <v>105</v>
      </c>
    </row>
    <row r="7" spans="1:12" ht="13.5">
      <c r="A7" s="253"/>
      <c r="B7" s="253" t="s">
        <v>68</v>
      </c>
      <c r="C7" s="253"/>
      <c r="D7" s="426" t="s">
        <v>332</v>
      </c>
      <c r="E7" s="426" t="s">
        <v>118</v>
      </c>
      <c r="F7" s="427" t="s">
        <v>232</v>
      </c>
      <c r="G7" s="253"/>
      <c r="I7" s="76" t="s">
        <v>59</v>
      </c>
      <c r="J7" s="76" t="s">
        <v>106</v>
      </c>
      <c r="K7" s="76" t="s">
        <v>107</v>
      </c>
      <c r="L7" s="76" t="s">
        <v>108</v>
      </c>
    </row>
    <row r="8" spans="1:12" ht="13.5">
      <c r="A8" s="253"/>
      <c r="B8" s="253" t="s">
        <v>69</v>
      </c>
      <c r="C8" s="253"/>
      <c r="D8" s="426" t="s">
        <v>333</v>
      </c>
      <c r="E8" s="426" t="s">
        <v>117</v>
      </c>
      <c r="F8" s="427" t="s">
        <v>334</v>
      </c>
      <c r="G8" s="253"/>
      <c r="I8" s="76" t="s">
        <v>64</v>
      </c>
      <c r="J8" s="76" t="s">
        <v>94</v>
      </c>
      <c r="K8" s="76" t="s">
        <v>109</v>
      </c>
      <c r="L8" s="76" t="s">
        <v>110</v>
      </c>
    </row>
    <row r="9" spans="1:12" ht="13.5">
      <c r="A9" s="253"/>
      <c r="B9" s="253" t="s">
        <v>70</v>
      </c>
      <c r="C9" s="253"/>
      <c r="D9" s="426" t="s">
        <v>335</v>
      </c>
      <c r="E9" s="426" t="s">
        <v>119</v>
      </c>
      <c r="F9" s="427" t="s">
        <v>336</v>
      </c>
      <c r="G9" s="253"/>
      <c r="I9" s="76"/>
      <c r="J9" s="76"/>
      <c r="K9" s="76"/>
      <c r="L9" s="76"/>
    </row>
    <row r="10" spans="1:12" ht="13.5">
      <c r="A10" s="253"/>
      <c r="B10" s="253" t="s">
        <v>173</v>
      </c>
      <c r="C10" s="253"/>
      <c r="D10" s="426" t="s">
        <v>337</v>
      </c>
      <c r="E10" s="426" t="s">
        <v>120</v>
      </c>
      <c r="F10" s="427" t="s">
        <v>233</v>
      </c>
      <c r="G10" s="253"/>
      <c r="I10" s="76"/>
      <c r="J10" s="76"/>
      <c r="K10" s="76"/>
      <c r="L10" s="76"/>
    </row>
    <row r="11" spans="1:7" ht="12.75">
      <c r="A11" s="253"/>
      <c r="B11" s="253" t="s">
        <v>174</v>
      </c>
      <c r="C11" s="253"/>
      <c r="D11" s="426" t="s">
        <v>338</v>
      </c>
      <c r="E11" s="426" t="s">
        <v>121</v>
      </c>
      <c r="F11" s="427" t="s">
        <v>309</v>
      </c>
      <c r="G11" s="253"/>
    </row>
    <row r="12" spans="1:12" ht="13.5">
      <c r="A12" s="253"/>
      <c r="B12" s="253" t="s">
        <v>175</v>
      </c>
      <c r="C12" s="253"/>
      <c r="D12" s="426" t="s">
        <v>339</v>
      </c>
      <c r="E12" s="426" t="s">
        <v>121</v>
      </c>
      <c r="F12" s="427" t="s">
        <v>340</v>
      </c>
      <c r="G12" s="253"/>
      <c r="I12" s="76"/>
      <c r="J12" s="76"/>
      <c r="K12" s="76"/>
      <c r="L12" s="76"/>
    </row>
    <row r="13" spans="1:12" ht="13.5">
      <c r="A13" s="253"/>
      <c r="B13" s="253"/>
      <c r="C13" s="253"/>
      <c r="D13" s="426" t="s">
        <v>341</v>
      </c>
      <c r="E13" s="426" t="s">
        <v>117</v>
      </c>
      <c r="F13" s="427" t="s">
        <v>342</v>
      </c>
      <c r="G13" s="253"/>
      <c r="I13" s="76"/>
      <c r="J13" s="76"/>
      <c r="K13" s="76"/>
      <c r="L13" s="76"/>
    </row>
    <row r="14" spans="1:12" ht="13.5">
      <c r="A14" s="253" t="s">
        <v>10</v>
      </c>
      <c r="B14" s="253"/>
      <c r="C14" s="253"/>
      <c r="D14" s="426" t="s">
        <v>343</v>
      </c>
      <c r="E14" s="426" t="s">
        <v>117</v>
      </c>
      <c r="F14" s="427" t="s">
        <v>310</v>
      </c>
      <c r="G14" s="253"/>
      <c r="I14" s="76"/>
      <c r="J14" s="76"/>
      <c r="K14" s="76"/>
      <c r="L14" s="76"/>
    </row>
    <row r="15" spans="1:12" ht="13.5">
      <c r="A15" s="253" t="s">
        <v>195</v>
      </c>
      <c r="B15" s="253" t="s">
        <v>196</v>
      </c>
      <c r="C15" s="253"/>
      <c r="D15" s="426" t="s">
        <v>528</v>
      </c>
      <c r="E15" s="426" t="s">
        <v>117</v>
      </c>
      <c r="F15" s="427" t="s">
        <v>529</v>
      </c>
      <c r="G15" s="253"/>
      <c r="I15" s="76"/>
      <c r="J15" s="76"/>
      <c r="K15" s="76"/>
      <c r="L15" s="76"/>
    </row>
    <row r="16" spans="1:12" ht="13.5">
      <c r="A16" s="253">
        <v>2</v>
      </c>
      <c r="B16" s="253">
        <v>2</v>
      </c>
      <c r="C16" s="253"/>
      <c r="D16" s="426" t="s">
        <v>344</v>
      </c>
      <c r="E16" s="426" t="s">
        <v>118</v>
      </c>
      <c r="F16" s="427" t="s">
        <v>234</v>
      </c>
      <c r="G16" s="253"/>
      <c r="I16" s="76"/>
      <c r="J16" s="76"/>
      <c r="K16" s="76"/>
      <c r="L16" s="76"/>
    </row>
    <row r="17" spans="1:12" ht="13.5">
      <c r="A17" s="253">
        <v>1</v>
      </c>
      <c r="B17" s="253">
        <v>0</v>
      </c>
      <c r="C17" s="253"/>
      <c r="D17" s="426" t="s">
        <v>345</v>
      </c>
      <c r="E17" s="426" t="s">
        <v>118</v>
      </c>
      <c r="F17" s="427" t="s">
        <v>235</v>
      </c>
      <c r="G17" s="253"/>
      <c r="I17" s="76"/>
      <c r="J17" s="76"/>
      <c r="K17" s="76"/>
      <c r="L17" s="76"/>
    </row>
    <row r="18" spans="1:12" ht="13.5">
      <c r="A18" s="253">
        <v>0</v>
      </c>
      <c r="B18" s="253"/>
      <c r="C18" s="253"/>
      <c r="D18" s="426" t="s">
        <v>346</v>
      </c>
      <c r="E18" s="426" t="s">
        <v>119</v>
      </c>
      <c r="F18" s="427" t="s">
        <v>236</v>
      </c>
      <c r="G18" s="253"/>
      <c r="I18" s="76"/>
      <c r="J18" s="76"/>
      <c r="K18" s="76"/>
      <c r="L18" s="76"/>
    </row>
    <row r="19" spans="1:12" ht="13.5">
      <c r="A19" s="253"/>
      <c r="B19" s="253"/>
      <c r="C19" s="253"/>
      <c r="D19" s="426" t="s">
        <v>347</v>
      </c>
      <c r="E19" s="426" t="s">
        <v>118</v>
      </c>
      <c r="F19" s="427" t="s">
        <v>237</v>
      </c>
      <c r="G19" s="253"/>
      <c r="I19" s="76"/>
      <c r="J19" s="76"/>
      <c r="K19" s="76"/>
      <c r="L19" s="76"/>
    </row>
    <row r="20" spans="1:12" ht="13.5">
      <c r="A20" s="253" t="s">
        <v>203</v>
      </c>
      <c r="B20" s="253"/>
      <c r="C20" s="253"/>
      <c r="D20" s="426" t="s">
        <v>348</v>
      </c>
      <c r="E20" s="426" t="s">
        <v>121</v>
      </c>
      <c r="F20" s="427" t="s">
        <v>238</v>
      </c>
      <c r="G20" s="253"/>
      <c r="I20" s="76"/>
      <c r="J20" s="76"/>
      <c r="K20" s="76"/>
      <c r="L20" s="76"/>
    </row>
    <row r="21" spans="1:12" ht="13.5">
      <c r="A21" s="253" t="s">
        <v>204</v>
      </c>
      <c r="C21" s="253"/>
      <c r="D21" s="426" t="s">
        <v>349</v>
      </c>
      <c r="E21" s="426" t="s">
        <v>119</v>
      </c>
      <c r="F21" s="427" t="s">
        <v>350</v>
      </c>
      <c r="G21" s="253"/>
      <c r="I21" s="76"/>
      <c r="J21" s="76"/>
      <c r="K21" s="76"/>
      <c r="L21" s="76"/>
    </row>
    <row r="22" spans="1:12" ht="13.5">
      <c r="A22" s="253" t="s">
        <v>205</v>
      </c>
      <c r="C22" s="253"/>
      <c r="D22" s="426" t="s">
        <v>351</v>
      </c>
      <c r="E22" s="426" t="s">
        <v>122</v>
      </c>
      <c r="F22" s="427" t="s">
        <v>352</v>
      </c>
      <c r="G22" s="253"/>
      <c r="I22" s="76"/>
      <c r="J22" s="76"/>
      <c r="K22" s="76"/>
      <c r="L22" s="76"/>
    </row>
    <row r="23" spans="1:12" ht="13.5">
      <c r="A23" s="253" t="s">
        <v>206</v>
      </c>
      <c r="C23" s="253"/>
      <c r="D23" s="426" t="s">
        <v>530</v>
      </c>
      <c r="E23" s="426" t="s">
        <v>119</v>
      </c>
      <c r="F23" s="427" t="s">
        <v>531</v>
      </c>
      <c r="G23" s="253"/>
      <c r="I23" s="76"/>
      <c r="J23" s="76"/>
      <c r="K23" s="76"/>
      <c r="L23" s="76"/>
    </row>
    <row r="24" spans="1:7" ht="12.75">
      <c r="A24" s="253" t="s">
        <v>207</v>
      </c>
      <c r="C24" s="253"/>
      <c r="D24" s="426" t="s">
        <v>353</v>
      </c>
      <c r="E24" s="426" t="s">
        <v>117</v>
      </c>
      <c r="F24" s="427" t="s">
        <v>354</v>
      </c>
      <c r="G24" s="253"/>
    </row>
    <row r="25" spans="1:7" ht="12.75">
      <c r="A25" s="253" t="s">
        <v>208</v>
      </c>
      <c r="C25" s="253"/>
      <c r="D25" s="426" t="s">
        <v>355</v>
      </c>
      <c r="E25" s="426" t="s">
        <v>117</v>
      </c>
      <c r="F25" s="427" t="s">
        <v>239</v>
      </c>
      <c r="G25" s="253"/>
    </row>
    <row r="26" spans="1:7" ht="12.75">
      <c r="A26" s="253" t="s">
        <v>209</v>
      </c>
      <c r="B26" s="253"/>
      <c r="C26" s="253"/>
      <c r="D26" s="426" t="s">
        <v>356</v>
      </c>
      <c r="E26" s="426" t="s">
        <v>117</v>
      </c>
      <c r="F26" s="427" t="s">
        <v>357</v>
      </c>
      <c r="G26" s="253"/>
    </row>
    <row r="27" spans="1:7" ht="12.75">
      <c r="A27" s="253" t="s">
        <v>210</v>
      </c>
      <c r="B27" s="253"/>
      <c r="C27" s="253"/>
      <c r="D27" s="426" t="s">
        <v>358</v>
      </c>
      <c r="E27" s="426" t="s">
        <v>122</v>
      </c>
      <c r="F27" s="427" t="s">
        <v>359</v>
      </c>
      <c r="G27" s="253"/>
    </row>
    <row r="28" spans="1:7" ht="12.75">
      <c r="A28" s="253" t="s">
        <v>211</v>
      </c>
      <c r="B28" s="253"/>
      <c r="C28" s="253"/>
      <c r="D28" s="426" t="s">
        <v>532</v>
      </c>
      <c r="E28" s="426" t="s">
        <v>121</v>
      </c>
      <c r="F28" s="427" t="s">
        <v>533</v>
      </c>
      <c r="G28" s="253"/>
    </row>
    <row r="29" spans="1:7" ht="12.75">
      <c r="A29" s="253" t="s">
        <v>212</v>
      </c>
      <c r="B29" s="253"/>
      <c r="C29" s="253"/>
      <c r="D29" s="426" t="s">
        <v>360</v>
      </c>
      <c r="E29" s="426" t="s">
        <v>119</v>
      </c>
      <c r="F29" s="427" t="s">
        <v>240</v>
      </c>
      <c r="G29" s="253"/>
    </row>
    <row r="30" spans="1:7" ht="12.75">
      <c r="A30" s="253" t="s">
        <v>213</v>
      </c>
      <c r="B30" s="253"/>
      <c r="C30" s="253"/>
      <c r="D30" s="426" t="s">
        <v>534</v>
      </c>
      <c r="E30" s="426" t="s">
        <v>117</v>
      </c>
      <c r="F30" s="427" t="s">
        <v>535</v>
      </c>
      <c r="G30" s="253"/>
    </row>
    <row r="31" spans="1:7" ht="12.75">
      <c r="A31" s="253" t="s">
        <v>214</v>
      </c>
      <c r="B31" s="253"/>
      <c r="C31" s="253"/>
      <c r="D31" s="426" t="s">
        <v>361</v>
      </c>
      <c r="E31" s="426" t="s">
        <v>118</v>
      </c>
      <c r="F31" s="427" t="s">
        <v>241</v>
      </c>
      <c r="G31" s="253"/>
    </row>
    <row r="32" spans="1:7" ht="12.75">
      <c r="A32" s="253"/>
      <c r="B32" s="253"/>
      <c r="C32" s="253"/>
      <c r="D32" s="426" t="s">
        <v>536</v>
      </c>
      <c r="E32" s="426" t="s">
        <v>117</v>
      </c>
      <c r="F32" s="427" t="s">
        <v>537</v>
      </c>
      <c r="G32" s="253"/>
    </row>
    <row r="33" spans="1:7" ht="12.75">
      <c r="A33" s="253"/>
      <c r="B33" s="253"/>
      <c r="C33" s="253"/>
      <c r="D33" s="426" t="s">
        <v>362</v>
      </c>
      <c r="E33" s="426" t="s">
        <v>120</v>
      </c>
      <c r="F33" s="427" t="s">
        <v>242</v>
      </c>
      <c r="G33" s="253"/>
    </row>
    <row r="34" spans="1:7" ht="12.75">
      <c r="A34" s="253"/>
      <c r="B34" s="253"/>
      <c r="C34" s="253"/>
      <c r="D34" s="426" t="s">
        <v>538</v>
      </c>
      <c r="E34" s="426" t="s">
        <v>120</v>
      </c>
      <c r="F34" s="427" t="s">
        <v>539</v>
      </c>
      <c r="G34" s="253"/>
    </row>
    <row r="35" spans="1:7" ht="12.75">
      <c r="A35" s="253"/>
      <c r="B35" s="253"/>
      <c r="C35" s="253"/>
      <c r="D35" s="426" t="s">
        <v>540</v>
      </c>
      <c r="E35" s="426" t="s">
        <v>121</v>
      </c>
      <c r="F35" s="427" t="s">
        <v>541</v>
      </c>
      <c r="G35" s="253"/>
    </row>
    <row r="36" spans="1:7" ht="12.75">
      <c r="A36" s="253"/>
      <c r="B36" s="253"/>
      <c r="C36" s="253"/>
      <c r="D36" s="426" t="s">
        <v>542</v>
      </c>
      <c r="E36" s="426" t="s">
        <v>121</v>
      </c>
      <c r="F36" s="427" t="s">
        <v>543</v>
      </c>
      <c r="G36" s="253"/>
    </row>
    <row r="37" spans="1:7" ht="12.75">
      <c r="A37" s="253"/>
      <c r="B37" s="253"/>
      <c r="C37" s="253"/>
      <c r="D37" s="426" t="s">
        <v>544</v>
      </c>
      <c r="E37" s="426" t="s">
        <v>119</v>
      </c>
      <c r="F37" s="427" t="s">
        <v>545</v>
      </c>
      <c r="G37" s="253"/>
    </row>
    <row r="38" spans="1:7" ht="12.75">
      <c r="A38" s="253"/>
      <c r="B38" s="253"/>
      <c r="C38" s="253"/>
      <c r="D38" s="426" t="s">
        <v>363</v>
      </c>
      <c r="E38" s="426" t="s">
        <v>117</v>
      </c>
      <c r="F38" s="427" t="s">
        <v>243</v>
      </c>
      <c r="G38" s="253"/>
    </row>
    <row r="39" spans="1:7" ht="12.75">
      <c r="A39" s="253"/>
      <c r="B39" s="253"/>
      <c r="C39" s="253"/>
      <c r="D39" s="426" t="s">
        <v>364</v>
      </c>
      <c r="E39" s="426" t="s">
        <v>121</v>
      </c>
      <c r="F39" s="427" t="s">
        <v>365</v>
      </c>
      <c r="G39" s="253"/>
    </row>
    <row r="40" spans="1:7" ht="12.75">
      <c r="A40" s="253"/>
      <c r="B40" s="253"/>
      <c r="C40" s="253"/>
      <c r="D40" s="426" t="s">
        <v>366</v>
      </c>
      <c r="E40" s="426" t="s">
        <v>121</v>
      </c>
      <c r="F40" s="427" t="s">
        <v>244</v>
      </c>
      <c r="G40" s="253"/>
    </row>
    <row r="41" spans="1:7" ht="12.75">
      <c r="A41" s="253"/>
      <c r="B41" s="253"/>
      <c r="C41" s="253"/>
      <c r="D41" s="426" t="s">
        <v>367</v>
      </c>
      <c r="E41" s="426" t="s">
        <v>118</v>
      </c>
      <c r="F41" s="427" t="s">
        <v>368</v>
      </c>
      <c r="G41" s="253"/>
    </row>
    <row r="42" spans="1:7" ht="12.75">
      <c r="A42" s="253"/>
      <c r="B42" s="253"/>
      <c r="C42" s="253"/>
      <c r="D42" s="426" t="s">
        <v>369</v>
      </c>
      <c r="E42" s="426" t="s">
        <v>117</v>
      </c>
      <c r="F42" s="427" t="s">
        <v>370</v>
      </c>
      <c r="G42" s="253"/>
    </row>
    <row r="43" spans="1:7" ht="12.75">
      <c r="A43" s="253"/>
      <c r="B43" s="253"/>
      <c r="C43" s="253"/>
      <c r="D43" s="426" t="s">
        <v>371</v>
      </c>
      <c r="E43" s="426" t="s">
        <v>119</v>
      </c>
      <c r="F43" s="427" t="s">
        <v>245</v>
      </c>
      <c r="G43" s="253"/>
    </row>
    <row r="44" spans="1:7" ht="12.75">
      <c r="A44" s="253"/>
      <c r="B44" s="253"/>
      <c r="C44" s="253"/>
      <c r="D44" s="426" t="s">
        <v>372</v>
      </c>
      <c r="E44" s="426" t="s">
        <v>117</v>
      </c>
      <c r="F44" s="427" t="s">
        <v>373</v>
      </c>
      <c r="G44" s="253"/>
    </row>
    <row r="45" spans="1:7" ht="12.75">
      <c r="A45" s="253"/>
      <c r="B45" s="253"/>
      <c r="C45" s="253"/>
      <c r="D45" s="426" t="s">
        <v>374</v>
      </c>
      <c r="E45" s="426" t="s">
        <v>117</v>
      </c>
      <c r="F45" s="427" t="s">
        <v>375</v>
      </c>
      <c r="G45" s="253"/>
    </row>
    <row r="46" spans="1:7" ht="12.75">
      <c r="A46" s="253"/>
      <c r="B46" s="253"/>
      <c r="C46" s="253"/>
      <c r="D46" s="426" t="s">
        <v>376</v>
      </c>
      <c r="E46" s="426" t="s">
        <v>123</v>
      </c>
      <c r="F46" s="427" t="s">
        <v>246</v>
      </c>
      <c r="G46" s="253"/>
    </row>
    <row r="47" spans="1:7" ht="12.75">
      <c r="A47" s="253"/>
      <c r="B47" s="253"/>
      <c r="C47" s="253"/>
      <c r="D47" s="426" t="s">
        <v>546</v>
      </c>
      <c r="E47" s="426" t="s">
        <v>121</v>
      </c>
      <c r="F47" s="427" t="s">
        <v>547</v>
      </c>
      <c r="G47" s="253"/>
    </row>
    <row r="48" spans="1:7" ht="12.75">
      <c r="A48" s="253"/>
      <c r="B48" s="253"/>
      <c r="C48" s="253"/>
      <c r="D48" s="426" t="s">
        <v>548</v>
      </c>
      <c r="E48" s="426" t="s">
        <v>121</v>
      </c>
      <c r="F48" s="427" t="s">
        <v>549</v>
      </c>
      <c r="G48" s="253"/>
    </row>
    <row r="49" spans="1:7" ht="12.75">
      <c r="A49" s="253"/>
      <c r="B49" s="253"/>
      <c r="C49" s="253"/>
      <c r="D49" s="426" t="s">
        <v>377</v>
      </c>
      <c r="E49" s="426" t="s">
        <v>121</v>
      </c>
      <c r="F49" s="427" t="s">
        <v>378</v>
      </c>
      <c r="G49" s="253"/>
    </row>
    <row r="50" spans="1:7" ht="12.75">
      <c r="A50" s="253"/>
      <c r="B50" s="253"/>
      <c r="C50" s="253"/>
      <c r="D50" s="426" t="s">
        <v>379</v>
      </c>
      <c r="E50" s="426" t="s">
        <v>120</v>
      </c>
      <c r="F50" s="427" t="s">
        <v>380</v>
      </c>
      <c r="G50" s="253"/>
    </row>
    <row r="51" spans="1:7" ht="12.75">
      <c r="A51" s="253"/>
      <c r="B51" s="253"/>
      <c r="C51" s="253"/>
      <c r="D51" s="426" t="s">
        <v>381</v>
      </c>
      <c r="E51" s="426" t="s">
        <v>119</v>
      </c>
      <c r="F51" s="427" t="s">
        <v>247</v>
      </c>
      <c r="G51" s="253"/>
    </row>
    <row r="52" spans="1:7" ht="12.75">
      <c r="A52" s="253"/>
      <c r="B52" s="253"/>
      <c r="C52" s="253"/>
      <c r="D52" s="426" t="s">
        <v>382</v>
      </c>
      <c r="E52" s="426" t="s">
        <v>117</v>
      </c>
      <c r="F52" s="427" t="s">
        <v>383</v>
      </c>
      <c r="G52" s="253"/>
    </row>
    <row r="53" spans="1:7" ht="12.75">
      <c r="A53" s="253"/>
      <c r="B53" s="253"/>
      <c r="C53" s="253"/>
      <c r="D53" s="426" t="s">
        <v>384</v>
      </c>
      <c r="E53" s="426" t="s">
        <v>117</v>
      </c>
      <c r="F53" s="427" t="s">
        <v>385</v>
      </c>
      <c r="G53" s="253"/>
    </row>
    <row r="54" spans="1:7" ht="12.75">
      <c r="A54" s="253"/>
      <c r="B54" s="253"/>
      <c r="C54" s="253"/>
      <c r="D54" s="426" t="s">
        <v>386</v>
      </c>
      <c r="E54" s="426" t="s">
        <v>121</v>
      </c>
      <c r="F54" s="427" t="s">
        <v>248</v>
      </c>
      <c r="G54" s="253"/>
    </row>
    <row r="55" spans="1:7" ht="12.75">
      <c r="A55" s="253"/>
      <c r="B55" s="253"/>
      <c r="C55" s="253"/>
      <c r="D55" s="426" t="s">
        <v>550</v>
      </c>
      <c r="E55" s="426" t="s">
        <v>117</v>
      </c>
      <c r="F55" s="427" t="s">
        <v>551</v>
      </c>
      <c r="G55" s="253"/>
    </row>
    <row r="56" spans="1:7" ht="12.75">
      <c r="A56" s="253"/>
      <c r="B56" s="253"/>
      <c r="C56" s="253"/>
      <c r="D56" s="426" t="s">
        <v>552</v>
      </c>
      <c r="E56" s="426" t="s">
        <v>119</v>
      </c>
      <c r="F56" s="427" t="s">
        <v>553</v>
      </c>
      <c r="G56" s="253"/>
    </row>
    <row r="57" spans="1:7" ht="12.75">
      <c r="A57" s="253"/>
      <c r="B57" s="253"/>
      <c r="C57" s="253"/>
      <c r="D57" s="426" t="s">
        <v>554</v>
      </c>
      <c r="E57" s="426" t="s">
        <v>119</v>
      </c>
      <c r="F57" s="427" t="s">
        <v>555</v>
      </c>
      <c r="G57" s="253"/>
    </row>
    <row r="58" spans="1:7" ht="12.75">
      <c r="A58" s="253"/>
      <c r="B58" s="253"/>
      <c r="C58" s="253"/>
      <c r="D58" s="426" t="s">
        <v>387</v>
      </c>
      <c r="E58" s="426" t="s">
        <v>117</v>
      </c>
      <c r="F58" s="427" t="s">
        <v>311</v>
      </c>
      <c r="G58" s="253"/>
    </row>
    <row r="59" spans="1:7" ht="12.75">
      <c r="A59" s="253"/>
      <c r="B59" s="253"/>
      <c r="C59" s="253"/>
      <c r="D59" s="426" t="s">
        <v>388</v>
      </c>
      <c r="E59" s="426" t="s">
        <v>120</v>
      </c>
      <c r="F59" s="427" t="s">
        <v>297</v>
      </c>
      <c r="G59" s="253"/>
    </row>
    <row r="60" spans="1:7" ht="12.75">
      <c r="A60" s="253"/>
      <c r="B60" s="253"/>
      <c r="C60" s="253"/>
      <c r="D60" s="426" t="s">
        <v>556</v>
      </c>
      <c r="E60" s="426" t="s">
        <v>119</v>
      </c>
      <c r="F60" s="427" t="s">
        <v>557</v>
      </c>
      <c r="G60" s="253"/>
    </row>
    <row r="61" spans="1:7" ht="12.75">
      <c r="A61" s="253"/>
      <c r="B61" s="253"/>
      <c r="C61" s="253"/>
      <c r="D61" s="426" t="s">
        <v>558</v>
      </c>
      <c r="E61" s="426" t="s">
        <v>118</v>
      </c>
      <c r="F61" s="427" t="s">
        <v>559</v>
      </c>
      <c r="G61" s="253"/>
    </row>
    <row r="62" spans="1:7" ht="12.75">
      <c r="A62" s="253"/>
      <c r="B62" s="253"/>
      <c r="C62" s="253"/>
      <c r="D62" s="426" t="s">
        <v>389</v>
      </c>
      <c r="E62" s="426" t="s">
        <v>117</v>
      </c>
      <c r="F62" s="427" t="s">
        <v>312</v>
      </c>
      <c r="G62" s="253"/>
    </row>
    <row r="63" spans="1:7" ht="12.75">
      <c r="A63" s="253"/>
      <c r="B63" s="253"/>
      <c r="C63" s="253"/>
      <c r="D63" s="426" t="s">
        <v>390</v>
      </c>
      <c r="E63" s="426" t="s">
        <v>119</v>
      </c>
      <c r="F63" s="427" t="s">
        <v>313</v>
      </c>
      <c r="G63" s="253"/>
    </row>
    <row r="64" spans="1:7" ht="12.75">
      <c r="A64" s="253"/>
      <c r="B64" s="253"/>
      <c r="C64" s="253"/>
      <c r="D64" s="426" t="s">
        <v>391</v>
      </c>
      <c r="E64" s="426" t="s">
        <v>118</v>
      </c>
      <c r="F64" s="427" t="s">
        <v>249</v>
      </c>
      <c r="G64" s="253"/>
    </row>
    <row r="65" spans="1:7" ht="12.75">
      <c r="A65" s="253"/>
      <c r="B65" s="253"/>
      <c r="C65" s="253"/>
      <c r="D65" s="426" t="s">
        <v>392</v>
      </c>
      <c r="E65" s="426" t="s">
        <v>121</v>
      </c>
      <c r="F65" s="427" t="s">
        <v>393</v>
      </c>
      <c r="G65" s="253"/>
    </row>
    <row r="66" spans="1:7" ht="12.75">
      <c r="A66" s="253"/>
      <c r="B66" s="253"/>
      <c r="C66" s="253"/>
      <c r="D66" s="426" t="s">
        <v>560</v>
      </c>
      <c r="E66" s="426" t="s">
        <v>117</v>
      </c>
      <c r="F66" s="427" t="s">
        <v>561</v>
      </c>
      <c r="G66" s="253"/>
    </row>
    <row r="67" spans="1:7" ht="12.75">
      <c r="A67" s="253"/>
      <c r="B67" s="253"/>
      <c r="C67" s="253"/>
      <c r="D67" s="426" t="s">
        <v>562</v>
      </c>
      <c r="E67" s="426" t="s">
        <v>117</v>
      </c>
      <c r="F67" s="427" t="s">
        <v>563</v>
      </c>
      <c r="G67" s="253"/>
    </row>
    <row r="68" spans="1:7" ht="12.75">
      <c r="A68" s="253"/>
      <c r="B68" s="253"/>
      <c r="C68" s="253"/>
      <c r="D68" s="426" t="s">
        <v>564</v>
      </c>
      <c r="E68" s="426" t="s">
        <v>121</v>
      </c>
      <c r="F68" s="427" t="s">
        <v>565</v>
      </c>
      <c r="G68" s="253"/>
    </row>
    <row r="69" spans="1:7" ht="12.75">
      <c r="A69" s="253"/>
      <c r="B69" s="253"/>
      <c r="C69" s="253"/>
      <c r="D69" s="426" t="s">
        <v>566</v>
      </c>
      <c r="E69" s="426" t="s">
        <v>121</v>
      </c>
      <c r="F69" s="427" t="s">
        <v>567</v>
      </c>
      <c r="G69" s="253"/>
    </row>
    <row r="70" spans="1:7" ht="12.75">
      <c r="A70" s="253"/>
      <c r="B70" s="253"/>
      <c r="C70" s="253"/>
      <c r="D70" s="426" t="s">
        <v>568</v>
      </c>
      <c r="E70" s="426" t="s">
        <v>119</v>
      </c>
      <c r="F70" s="427" t="s">
        <v>569</v>
      </c>
      <c r="G70" s="253"/>
    </row>
    <row r="71" spans="1:7" ht="12.75">
      <c r="A71" s="253"/>
      <c r="B71" s="253"/>
      <c r="C71" s="253"/>
      <c r="D71" s="426" t="s">
        <v>570</v>
      </c>
      <c r="E71" s="426" t="s">
        <v>117</v>
      </c>
      <c r="F71" s="427" t="s">
        <v>571</v>
      </c>
      <c r="G71" s="253"/>
    </row>
    <row r="72" spans="1:7" ht="12.75">
      <c r="A72" s="253"/>
      <c r="B72" s="253"/>
      <c r="C72" s="253"/>
      <c r="D72" s="426" t="s">
        <v>394</v>
      </c>
      <c r="E72" s="426" t="s">
        <v>118</v>
      </c>
      <c r="F72" s="427" t="s">
        <v>250</v>
      </c>
      <c r="G72" s="253"/>
    </row>
    <row r="73" spans="1:7" ht="12.75">
      <c r="A73" s="253"/>
      <c r="B73" s="253"/>
      <c r="C73" s="253"/>
      <c r="D73" s="426" t="s">
        <v>572</v>
      </c>
      <c r="E73" s="426" t="s">
        <v>118</v>
      </c>
      <c r="F73" s="427" t="s">
        <v>573</v>
      </c>
      <c r="G73" s="253"/>
    </row>
    <row r="74" spans="1:7" ht="12.75">
      <c r="A74" s="253"/>
      <c r="B74" s="253"/>
      <c r="C74" s="253"/>
      <c r="D74" s="426" t="s">
        <v>395</v>
      </c>
      <c r="E74" s="426" t="s">
        <v>119</v>
      </c>
      <c r="F74" s="427" t="s">
        <v>314</v>
      </c>
      <c r="G74" s="253"/>
    </row>
    <row r="75" spans="1:7" ht="12.75">
      <c r="A75" s="253"/>
      <c r="B75" s="253"/>
      <c r="C75" s="253"/>
      <c r="D75" s="426" t="s">
        <v>396</v>
      </c>
      <c r="E75" s="426" t="s">
        <v>119</v>
      </c>
      <c r="F75" s="427" t="s">
        <v>251</v>
      </c>
      <c r="G75" s="253"/>
    </row>
    <row r="76" spans="1:7" ht="12.75">
      <c r="A76" s="253"/>
      <c r="B76" s="253"/>
      <c r="C76" s="253"/>
      <c r="D76" s="426" t="s">
        <v>397</v>
      </c>
      <c r="E76" s="426" t="s">
        <v>117</v>
      </c>
      <c r="F76" s="427" t="s">
        <v>252</v>
      </c>
      <c r="G76" s="253"/>
    </row>
    <row r="77" spans="1:7" ht="12.75">
      <c r="A77" s="253"/>
      <c r="B77" s="253"/>
      <c r="C77" s="253"/>
      <c r="D77" s="426" t="s">
        <v>398</v>
      </c>
      <c r="E77" s="426" t="s">
        <v>120</v>
      </c>
      <c r="F77" s="427" t="s">
        <v>399</v>
      </c>
      <c r="G77" s="253"/>
    </row>
    <row r="78" spans="1:7" ht="12.75">
      <c r="A78" s="253"/>
      <c r="B78" s="253"/>
      <c r="C78" s="253"/>
      <c r="D78" s="426" t="s">
        <v>574</v>
      </c>
      <c r="E78" s="426" t="s">
        <v>119</v>
      </c>
      <c r="F78" s="427" t="s">
        <v>575</v>
      </c>
      <c r="G78" s="253"/>
    </row>
    <row r="79" spans="1:7" ht="12.75">
      <c r="A79" s="253"/>
      <c r="B79" s="253"/>
      <c r="C79" s="253"/>
      <c r="D79" s="426" t="s">
        <v>400</v>
      </c>
      <c r="E79" s="426" t="s">
        <v>119</v>
      </c>
      <c r="F79" s="427" t="s">
        <v>253</v>
      </c>
      <c r="G79" s="253"/>
    </row>
    <row r="80" spans="1:7" ht="12.75">
      <c r="A80" s="253"/>
      <c r="B80" s="253"/>
      <c r="C80" s="253"/>
      <c r="D80" s="426" t="s">
        <v>576</v>
      </c>
      <c r="E80" s="426" t="s">
        <v>120</v>
      </c>
      <c r="F80" s="427" t="s">
        <v>577</v>
      </c>
      <c r="G80" s="253"/>
    </row>
    <row r="81" spans="1:7" ht="12.75">
      <c r="A81" s="253"/>
      <c r="B81" s="253"/>
      <c r="C81" s="253"/>
      <c r="D81" s="426" t="s">
        <v>578</v>
      </c>
      <c r="E81" s="426" t="s">
        <v>120</v>
      </c>
      <c r="F81" s="427" t="s">
        <v>579</v>
      </c>
      <c r="G81" s="253"/>
    </row>
    <row r="82" spans="1:7" ht="12.75">
      <c r="A82" s="253"/>
      <c r="B82" s="253"/>
      <c r="C82" s="253"/>
      <c r="D82" s="426" t="s">
        <v>580</v>
      </c>
      <c r="E82" s="426" t="s">
        <v>120</v>
      </c>
      <c r="F82" s="427" t="s">
        <v>581</v>
      </c>
      <c r="G82" s="253"/>
    </row>
    <row r="83" spans="1:7" ht="12.75">
      <c r="A83" s="253"/>
      <c r="B83" s="253"/>
      <c r="C83" s="253"/>
      <c r="D83" s="426" t="s">
        <v>582</v>
      </c>
      <c r="E83" s="426" t="s">
        <v>121</v>
      </c>
      <c r="F83" s="427" t="s">
        <v>583</v>
      </c>
      <c r="G83" s="253"/>
    </row>
    <row r="84" spans="1:7" ht="12.75">
      <c r="A84" s="253"/>
      <c r="B84" s="253"/>
      <c r="C84" s="253"/>
      <c r="D84" s="426" t="s">
        <v>584</v>
      </c>
      <c r="E84" s="426" t="s">
        <v>117</v>
      </c>
      <c r="F84" s="427" t="s">
        <v>585</v>
      </c>
      <c r="G84" s="253"/>
    </row>
    <row r="85" spans="1:7" ht="12.75">
      <c r="A85" s="253"/>
      <c r="B85" s="253"/>
      <c r="C85" s="253"/>
      <c r="D85" s="426" t="s">
        <v>586</v>
      </c>
      <c r="E85" s="426" t="s">
        <v>118</v>
      </c>
      <c r="F85" s="427" t="s">
        <v>587</v>
      </c>
      <c r="G85" s="253"/>
    </row>
    <row r="86" spans="1:7" ht="12.75">
      <c r="A86" s="253"/>
      <c r="B86" s="253"/>
      <c r="C86" s="253"/>
      <c r="D86" s="426" t="s">
        <v>588</v>
      </c>
      <c r="E86" s="426" t="s">
        <v>117</v>
      </c>
      <c r="F86" s="427" t="s">
        <v>589</v>
      </c>
      <c r="G86" s="253"/>
    </row>
    <row r="87" spans="1:7" ht="12.75">
      <c r="A87" s="253"/>
      <c r="B87" s="253"/>
      <c r="C87" s="253"/>
      <c r="D87" s="426" t="s">
        <v>590</v>
      </c>
      <c r="E87" s="426" t="s">
        <v>121</v>
      </c>
      <c r="F87" s="427" t="s">
        <v>591</v>
      </c>
      <c r="G87" s="253"/>
    </row>
    <row r="88" spans="1:7" ht="12.75">
      <c r="A88" s="253"/>
      <c r="B88" s="253"/>
      <c r="C88" s="253"/>
      <c r="D88" s="426" t="s">
        <v>401</v>
      </c>
      <c r="E88" s="426" t="s">
        <v>121</v>
      </c>
      <c r="F88" s="427" t="s">
        <v>298</v>
      </c>
      <c r="G88" s="253"/>
    </row>
    <row r="89" spans="1:7" ht="12.75">
      <c r="A89" s="253"/>
      <c r="B89" s="253"/>
      <c r="C89" s="253"/>
      <c r="D89" s="426" t="s">
        <v>402</v>
      </c>
      <c r="E89" s="426" t="s">
        <v>119</v>
      </c>
      <c r="F89" s="427" t="s">
        <v>403</v>
      </c>
      <c r="G89" s="253"/>
    </row>
    <row r="90" spans="1:7" ht="12.75">
      <c r="A90" s="253"/>
      <c r="B90" s="253"/>
      <c r="C90" s="253"/>
      <c r="D90" s="426" t="s">
        <v>404</v>
      </c>
      <c r="E90" s="426" t="s">
        <v>123</v>
      </c>
      <c r="F90" s="427" t="s">
        <v>254</v>
      </c>
      <c r="G90" s="253"/>
    </row>
    <row r="91" spans="1:7" ht="12.75">
      <c r="A91" s="253"/>
      <c r="B91" s="253"/>
      <c r="C91" s="253"/>
      <c r="D91" s="426" t="s">
        <v>405</v>
      </c>
      <c r="E91" s="426" t="s">
        <v>121</v>
      </c>
      <c r="F91" s="427" t="s">
        <v>406</v>
      </c>
      <c r="G91" s="253"/>
    </row>
    <row r="92" spans="1:7" ht="12.75">
      <c r="A92" s="253"/>
      <c r="B92" s="253"/>
      <c r="C92" s="253"/>
      <c r="D92" s="426" t="s">
        <v>407</v>
      </c>
      <c r="E92" s="426" t="s">
        <v>119</v>
      </c>
      <c r="F92" s="427" t="s">
        <v>255</v>
      </c>
      <c r="G92" s="253"/>
    </row>
    <row r="93" spans="1:7" ht="12.75">
      <c r="A93" s="253"/>
      <c r="B93" s="253"/>
      <c r="C93" s="253"/>
      <c r="D93" s="426" t="s">
        <v>592</v>
      </c>
      <c r="E93" s="426" t="s">
        <v>117</v>
      </c>
      <c r="F93" s="427" t="s">
        <v>593</v>
      </c>
      <c r="G93" s="253"/>
    </row>
    <row r="94" spans="1:7" ht="12.75">
      <c r="A94" s="253"/>
      <c r="B94" s="253"/>
      <c r="C94" s="253"/>
      <c r="D94" s="426" t="s">
        <v>408</v>
      </c>
      <c r="E94" s="426" t="s">
        <v>121</v>
      </c>
      <c r="F94" s="427" t="s">
        <v>256</v>
      </c>
      <c r="G94" s="253"/>
    </row>
    <row r="95" spans="1:7" ht="12.75">
      <c r="A95" s="253"/>
      <c r="B95" s="253"/>
      <c r="C95" s="253"/>
      <c r="D95" s="426" t="s">
        <v>409</v>
      </c>
      <c r="E95" s="426" t="s">
        <v>117</v>
      </c>
      <c r="F95" s="427" t="s">
        <v>257</v>
      </c>
      <c r="G95" s="253"/>
    </row>
    <row r="96" spans="1:7" ht="12.75">
      <c r="A96" s="253"/>
      <c r="B96" s="253"/>
      <c r="C96" s="253"/>
      <c r="D96" s="426" t="s">
        <v>410</v>
      </c>
      <c r="E96" s="426" t="s">
        <v>121</v>
      </c>
      <c r="F96" s="427" t="s">
        <v>411</v>
      </c>
      <c r="G96" s="253"/>
    </row>
    <row r="97" spans="1:7" ht="12.75">
      <c r="A97" s="253"/>
      <c r="B97" s="253"/>
      <c r="C97" s="253"/>
      <c r="D97" s="426" t="s">
        <v>412</v>
      </c>
      <c r="E97" s="426" t="s">
        <v>120</v>
      </c>
      <c r="F97" s="427" t="s">
        <v>413</v>
      </c>
      <c r="G97" s="253"/>
    </row>
    <row r="98" spans="1:7" ht="12.75">
      <c r="A98" s="253"/>
      <c r="B98" s="253"/>
      <c r="C98" s="253"/>
      <c r="D98" s="426" t="s">
        <v>414</v>
      </c>
      <c r="E98" s="426" t="s">
        <v>119</v>
      </c>
      <c r="F98" s="427" t="s">
        <v>301</v>
      </c>
      <c r="G98" s="253"/>
    </row>
    <row r="99" spans="1:7" ht="12.75">
      <c r="A99" s="253"/>
      <c r="B99" s="253"/>
      <c r="C99" s="253"/>
      <c r="D99" s="426" t="s">
        <v>594</v>
      </c>
      <c r="E99" s="426" t="s">
        <v>119</v>
      </c>
      <c r="F99" s="427" t="s">
        <v>595</v>
      </c>
      <c r="G99" s="253"/>
    </row>
    <row r="100" spans="1:7" ht="12.75">
      <c r="A100" s="253"/>
      <c r="B100" s="253"/>
      <c r="C100" s="253"/>
      <c r="D100" s="426" t="s">
        <v>415</v>
      </c>
      <c r="E100" s="426" t="s">
        <v>117</v>
      </c>
      <c r="F100" s="427" t="s">
        <v>315</v>
      </c>
      <c r="G100" s="253"/>
    </row>
    <row r="101" spans="1:7" ht="12.75">
      <c r="A101" s="253"/>
      <c r="B101" s="253"/>
      <c r="C101" s="253"/>
      <c r="D101" s="426" t="s">
        <v>416</v>
      </c>
      <c r="E101" s="426" t="s">
        <v>119</v>
      </c>
      <c r="F101" s="427" t="s">
        <v>316</v>
      </c>
      <c r="G101" s="253"/>
    </row>
    <row r="102" spans="1:7" ht="12.75">
      <c r="A102" s="253"/>
      <c r="B102" s="253"/>
      <c r="C102" s="253"/>
      <c r="D102" s="426" t="s">
        <v>417</v>
      </c>
      <c r="E102" s="426" t="s">
        <v>121</v>
      </c>
      <c r="F102" s="427" t="s">
        <v>418</v>
      </c>
      <c r="G102" s="253"/>
    </row>
    <row r="103" spans="1:7" ht="12.75">
      <c r="A103" s="253"/>
      <c r="B103" s="253"/>
      <c r="C103" s="253"/>
      <c r="D103" s="426" t="s">
        <v>419</v>
      </c>
      <c r="E103" s="426" t="s">
        <v>120</v>
      </c>
      <c r="F103" s="427" t="s">
        <v>258</v>
      </c>
      <c r="G103" s="253"/>
    </row>
    <row r="104" spans="1:7" ht="12.75">
      <c r="A104" s="253"/>
      <c r="B104" s="253"/>
      <c r="C104" s="253"/>
      <c r="D104" s="426" t="s">
        <v>420</v>
      </c>
      <c r="E104" s="426" t="s">
        <v>120</v>
      </c>
      <c r="F104" s="427" t="s">
        <v>259</v>
      </c>
      <c r="G104" s="253"/>
    </row>
    <row r="105" spans="1:7" ht="12.75">
      <c r="A105" s="253"/>
      <c r="B105" s="253"/>
      <c r="C105" s="253"/>
      <c r="D105" s="426" t="s">
        <v>421</v>
      </c>
      <c r="E105" s="426" t="s">
        <v>121</v>
      </c>
      <c r="F105" s="427" t="s">
        <v>260</v>
      </c>
      <c r="G105" s="253"/>
    </row>
    <row r="106" spans="1:7" ht="12.75">
      <c r="A106" s="253"/>
      <c r="B106" s="253"/>
      <c r="C106" s="253"/>
      <c r="D106" s="426" t="s">
        <v>596</v>
      </c>
      <c r="E106" s="426" t="s">
        <v>117</v>
      </c>
      <c r="F106" s="427" t="s">
        <v>597</v>
      </c>
      <c r="G106" s="253"/>
    </row>
    <row r="107" spans="1:7" ht="12.75">
      <c r="A107" s="253"/>
      <c r="B107" s="253"/>
      <c r="C107" s="253"/>
      <c r="D107" s="426" t="s">
        <v>598</v>
      </c>
      <c r="E107" s="426" t="s">
        <v>119</v>
      </c>
      <c r="F107" s="427" t="s">
        <v>599</v>
      </c>
      <c r="G107" s="253"/>
    </row>
    <row r="108" spans="1:7" ht="12.75">
      <c r="A108" s="253"/>
      <c r="B108" s="253"/>
      <c r="C108" s="253"/>
      <c r="D108" s="426" t="s">
        <v>422</v>
      </c>
      <c r="E108" s="426" t="s">
        <v>119</v>
      </c>
      <c r="F108" s="427" t="s">
        <v>261</v>
      </c>
      <c r="G108" s="253"/>
    </row>
    <row r="109" spans="1:7" ht="12.75">
      <c r="A109" s="253"/>
      <c r="B109" s="253"/>
      <c r="C109" s="253"/>
      <c r="D109" s="426" t="s">
        <v>423</v>
      </c>
      <c r="E109" s="426" t="s">
        <v>119</v>
      </c>
      <c r="F109" s="427" t="s">
        <v>424</v>
      </c>
      <c r="G109" s="253"/>
    </row>
    <row r="110" spans="1:7" ht="12.75">
      <c r="A110" s="253"/>
      <c r="B110" s="253"/>
      <c r="C110" s="253"/>
      <c r="D110" s="426" t="s">
        <v>425</v>
      </c>
      <c r="E110" s="426" t="s">
        <v>118</v>
      </c>
      <c r="F110" s="427" t="s">
        <v>262</v>
      </c>
      <c r="G110" s="253"/>
    </row>
    <row r="111" spans="1:7" ht="12.75">
      <c r="A111" s="253"/>
      <c r="B111" s="253"/>
      <c r="C111" s="253"/>
      <c r="D111" s="426" t="s">
        <v>426</v>
      </c>
      <c r="E111" s="426" t="s">
        <v>120</v>
      </c>
      <c r="F111" s="427" t="s">
        <v>317</v>
      </c>
      <c r="G111" s="253"/>
    </row>
    <row r="112" spans="1:7" ht="12.75">
      <c r="A112" s="253"/>
      <c r="B112" s="253"/>
      <c r="C112" s="253"/>
      <c r="D112" s="426" t="s">
        <v>600</v>
      </c>
      <c r="E112" s="426" t="s">
        <v>120</v>
      </c>
      <c r="F112" s="427" t="s">
        <v>601</v>
      </c>
      <c r="G112" s="253"/>
    </row>
    <row r="113" spans="1:7" ht="12.75">
      <c r="A113" s="253"/>
      <c r="B113" s="253"/>
      <c r="C113" s="253"/>
      <c r="D113" s="426" t="s">
        <v>602</v>
      </c>
      <c r="E113" s="426" t="s">
        <v>121</v>
      </c>
      <c r="F113" s="427" t="s">
        <v>603</v>
      </c>
      <c r="G113" s="253"/>
    </row>
    <row r="114" spans="1:7" ht="12.75">
      <c r="A114" s="253"/>
      <c r="B114" s="253"/>
      <c r="C114" s="253"/>
      <c r="D114" s="426" t="s">
        <v>427</v>
      </c>
      <c r="E114" s="426" t="s">
        <v>122</v>
      </c>
      <c r="F114" s="427" t="s">
        <v>428</v>
      </c>
      <c r="G114" s="253"/>
    </row>
    <row r="115" spans="1:7" ht="12.75">
      <c r="A115" s="253"/>
      <c r="B115" s="253"/>
      <c r="C115" s="253"/>
      <c r="D115" s="426" t="s">
        <v>429</v>
      </c>
      <c r="E115" s="426" t="s">
        <v>121</v>
      </c>
      <c r="F115" s="427" t="s">
        <v>430</v>
      </c>
      <c r="G115" s="253"/>
    </row>
    <row r="116" spans="1:7" ht="12.75">
      <c r="A116" s="253"/>
      <c r="B116" s="253"/>
      <c r="C116" s="253"/>
      <c r="D116" s="426" t="s">
        <v>431</v>
      </c>
      <c r="E116" s="426" t="s">
        <v>123</v>
      </c>
      <c r="F116" s="427" t="s">
        <v>432</v>
      </c>
      <c r="G116" s="253"/>
    </row>
    <row r="117" spans="1:7" ht="12.75">
      <c r="A117" s="253"/>
      <c r="B117" s="253"/>
      <c r="C117" s="253"/>
      <c r="D117" s="426" t="s">
        <v>433</v>
      </c>
      <c r="E117" s="426" t="s">
        <v>121</v>
      </c>
      <c r="F117" s="427" t="s">
        <v>434</v>
      </c>
      <c r="G117" s="253"/>
    </row>
    <row r="118" spans="1:7" ht="12.75">
      <c r="A118" s="253"/>
      <c r="B118" s="253"/>
      <c r="C118" s="253"/>
      <c r="D118" s="426" t="s">
        <v>435</v>
      </c>
      <c r="E118" s="426" t="s">
        <v>122</v>
      </c>
      <c r="F118" s="427" t="s">
        <v>436</v>
      </c>
      <c r="G118" s="253"/>
    </row>
    <row r="119" spans="1:7" ht="12.75">
      <c r="A119" s="253"/>
      <c r="B119" s="253"/>
      <c r="C119" s="253"/>
      <c r="D119" s="426" t="s">
        <v>437</v>
      </c>
      <c r="E119" s="426" t="s">
        <v>117</v>
      </c>
      <c r="F119" s="427" t="s">
        <v>318</v>
      </c>
      <c r="G119" s="253"/>
    </row>
    <row r="120" spans="1:7" ht="12.75">
      <c r="A120" s="253"/>
      <c r="B120" s="253"/>
      <c r="C120" s="253"/>
      <c r="D120" s="426" t="s">
        <v>438</v>
      </c>
      <c r="E120" s="426" t="s">
        <v>118</v>
      </c>
      <c r="F120" s="427" t="s">
        <v>263</v>
      </c>
      <c r="G120" s="253"/>
    </row>
    <row r="121" spans="1:7" ht="12.75">
      <c r="A121" s="253"/>
      <c r="B121" s="253"/>
      <c r="C121" s="253"/>
      <c r="D121" s="426" t="s">
        <v>439</v>
      </c>
      <c r="E121" s="426" t="s">
        <v>123</v>
      </c>
      <c r="F121" s="427" t="s">
        <v>264</v>
      </c>
      <c r="G121" s="253"/>
    </row>
    <row r="122" spans="1:7" ht="12.75">
      <c r="A122" s="253"/>
      <c r="B122" s="253"/>
      <c r="C122" s="253"/>
      <c r="D122" s="426" t="s">
        <v>604</v>
      </c>
      <c r="E122" s="426" t="s">
        <v>117</v>
      </c>
      <c r="F122" s="427" t="s">
        <v>605</v>
      </c>
      <c r="G122" s="253"/>
    </row>
    <row r="123" spans="1:7" ht="12.75">
      <c r="A123" s="253"/>
      <c r="B123" s="253"/>
      <c r="C123" s="253"/>
      <c r="D123" s="426" t="s">
        <v>440</v>
      </c>
      <c r="E123" s="426" t="s">
        <v>121</v>
      </c>
      <c r="F123" s="427" t="s">
        <v>441</v>
      </c>
      <c r="G123" s="253"/>
    </row>
    <row r="124" spans="1:7" ht="12.75">
      <c r="A124" s="253"/>
      <c r="B124" s="253"/>
      <c r="C124" s="253"/>
      <c r="D124" s="426" t="s">
        <v>442</v>
      </c>
      <c r="E124" s="426" t="s">
        <v>121</v>
      </c>
      <c r="F124" s="427" t="s">
        <v>319</v>
      </c>
      <c r="G124" s="253"/>
    </row>
    <row r="125" spans="1:7" ht="12.75">
      <c r="A125" s="253"/>
      <c r="B125" s="253"/>
      <c r="C125" s="253"/>
      <c r="D125" s="426" t="s">
        <v>443</v>
      </c>
      <c r="E125" s="426" t="s">
        <v>122</v>
      </c>
      <c r="F125" s="427" t="s">
        <v>444</v>
      </c>
      <c r="G125" s="253"/>
    </row>
    <row r="126" spans="1:7" ht="12.75">
      <c r="A126" s="253"/>
      <c r="B126" s="253"/>
      <c r="C126" s="253"/>
      <c r="D126" s="426" t="s">
        <v>445</v>
      </c>
      <c r="E126" s="426" t="s">
        <v>117</v>
      </c>
      <c r="F126" s="427" t="s">
        <v>320</v>
      </c>
      <c r="G126" s="253"/>
    </row>
    <row r="127" spans="1:7" ht="12.75">
      <c r="A127" s="253"/>
      <c r="B127" s="253"/>
      <c r="C127" s="253"/>
      <c r="D127" s="426" t="s">
        <v>446</v>
      </c>
      <c r="E127" s="426" t="s">
        <v>119</v>
      </c>
      <c r="F127" s="427" t="s">
        <v>265</v>
      </c>
      <c r="G127" s="253"/>
    </row>
    <row r="128" spans="1:7" ht="12.75">
      <c r="A128" s="253"/>
      <c r="B128" s="253"/>
      <c r="C128" s="253"/>
      <c r="D128" s="426" t="s">
        <v>447</v>
      </c>
      <c r="E128" s="426" t="s">
        <v>123</v>
      </c>
      <c r="F128" s="427" t="s">
        <v>266</v>
      </c>
      <c r="G128" s="253"/>
    </row>
    <row r="129" spans="1:7" ht="12.75">
      <c r="A129" s="253"/>
      <c r="B129" s="253"/>
      <c r="C129" s="253"/>
      <c r="D129" s="426" t="s">
        <v>448</v>
      </c>
      <c r="E129" s="426" t="s">
        <v>121</v>
      </c>
      <c r="F129" s="427" t="s">
        <v>267</v>
      </c>
      <c r="G129" s="253"/>
    </row>
    <row r="130" spans="1:7" ht="12.75">
      <c r="A130" s="253"/>
      <c r="B130" s="253"/>
      <c r="C130" s="253"/>
      <c r="D130" s="426" t="s">
        <v>449</v>
      </c>
      <c r="E130" s="426" t="s">
        <v>121</v>
      </c>
      <c r="F130" s="427" t="s">
        <v>302</v>
      </c>
      <c r="G130" s="253"/>
    </row>
    <row r="131" spans="1:7" ht="12.75">
      <c r="A131" s="253"/>
      <c r="B131" s="253"/>
      <c r="C131" s="253"/>
      <c r="D131" s="426" t="s">
        <v>450</v>
      </c>
      <c r="E131" s="426" t="s">
        <v>118</v>
      </c>
      <c r="F131" s="427" t="s">
        <v>451</v>
      </c>
      <c r="G131" s="253"/>
    </row>
    <row r="132" spans="1:7" ht="12.75">
      <c r="A132" s="253"/>
      <c r="B132" s="253"/>
      <c r="C132" s="253"/>
      <c r="D132" s="426" t="s">
        <v>606</v>
      </c>
      <c r="E132" s="426" t="s">
        <v>120</v>
      </c>
      <c r="F132" s="427" t="s">
        <v>607</v>
      </c>
      <c r="G132" s="253"/>
    </row>
    <row r="133" spans="1:7" ht="12.75">
      <c r="A133" s="253"/>
      <c r="B133" s="253"/>
      <c r="C133" s="253"/>
      <c r="D133" s="426" t="s">
        <v>452</v>
      </c>
      <c r="E133" s="426" t="s">
        <v>117</v>
      </c>
      <c r="F133" s="427" t="s">
        <v>303</v>
      </c>
      <c r="G133" s="253"/>
    </row>
    <row r="134" spans="1:7" ht="12.75">
      <c r="A134" s="253"/>
      <c r="B134" s="253"/>
      <c r="C134" s="253"/>
      <c r="D134" s="426" t="s">
        <v>453</v>
      </c>
      <c r="E134" s="426" t="s">
        <v>117</v>
      </c>
      <c r="F134" s="427" t="s">
        <v>321</v>
      </c>
      <c r="G134" s="253"/>
    </row>
    <row r="135" spans="1:7" ht="12.75">
      <c r="A135" s="253"/>
      <c r="B135" s="253"/>
      <c r="C135" s="253"/>
      <c r="D135" s="426" t="s">
        <v>454</v>
      </c>
      <c r="E135" s="426" t="s">
        <v>118</v>
      </c>
      <c r="F135" s="427" t="s">
        <v>322</v>
      </c>
      <c r="G135" s="253"/>
    </row>
    <row r="136" spans="1:7" ht="12.75">
      <c r="A136" s="253"/>
      <c r="B136" s="253"/>
      <c r="C136" s="253"/>
      <c r="D136" s="426" t="s">
        <v>608</v>
      </c>
      <c r="E136" s="426" t="s">
        <v>117</v>
      </c>
      <c r="F136" s="427" t="s">
        <v>609</v>
      </c>
      <c r="G136" s="253"/>
    </row>
    <row r="137" spans="4:6" ht="12.75">
      <c r="D137" s="426" t="s">
        <v>455</v>
      </c>
      <c r="E137" s="426" t="s">
        <v>118</v>
      </c>
      <c r="F137" s="427" t="s">
        <v>268</v>
      </c>
    </row>
    <row r="138" spans="4:6" ht="12.75">
      <c r="D138" s="426" t="s">
        <v>456</v>
      </c>
      <c r="E138" s="426" t="s">
        <v>117</v>
      </c>
      <c r="F138" s="427" t="s">
        <v>323</v>
      </c>
    </row>
    <row r="139" spans="4:6" ht="12.75">
      <c r="D139" s="426" t="s">
        <v>457</v>
      </c>
      <c r="E139" s="426" t="s">
        <v>119</v>
      </c>
      <c r="F139" s="427" t="s">
        <v>458</v>
      </c>
    </row>
    <row r="140" spans="4:6" ht="12.75">
      <c r="D140" s="426" t="s">
        <v>610</v>
      </c>
      <c r="E140" s="426" t="s">
        <v>121</v>
      </c>
      <c r="F140" s="427" t="s">
        <v>611</v>
      </c>
    </row>
    <row r="141" spans="4:6" ht="12.75">
      <c r="D141" s="426" t="s">
        <v>459</v>
      </c>
      <c r="E141" s="426" t="s">
        <v>120</v>
      </c>
      <c r="F141" s="427" t="s">
        <v>460</v>
      </c>
    </row>
    <row r="142" spans="4:6" ht="12.75">
      <c r="D142" s="426" t="s">
        <v>461</v>
      </c>
      <c r="E142" s="426" t="s">
        <v>121</v>
      </c>
      <c r="F142" s="427" t="s">
        <v>269</v>
      </c>
    </row>
    <row r="143" spans="4:6" ht="12.75">
      <c r="D143" s="426" t="s">
        <v>462</v>
      </c>
      <c r="E143" s="426" t="s">
        <v>118</v>
      </c>
      <c r="F143" s="427" t="s">
        <v>270</v>
      </c>
    </row>
    <row r="144" spans="4:6" ht="12.75">
      <c r="D144" s="426" t="s">
        <v>463</v>
      </c>
      <c r="E144" s="426" t="s">
        <v>123</v>
      </c>
      <c r="F144" s="427" t="s">
        <v>271</v>
      </c>
    </row>
    <row r="145" spans="4:6" ht="12.75">
      <c r="D145" s="426" t="s">
        <v>612</v>
      </c>
      <c r="E145" s="426" t="s">
        <v>121</v>
      </c>
      <c r="F145" s="427" t="s">
        <v>613</v>
      </c>
    </row>
    <row r="146" spans="4:6" ht="12.75">
      <c r="D146" s="426" t="s">
        <v>464</v>
      </c>
      <c r="E146" s="426" t="s">
        <v>118</v>
      </c>
      <c r="F146" s="427" t="s">
        <v>465</v>
      </c>
    </row>
    <row r="147" spans="4:6" ht="12.75">
      <c r="D147" s="426" t="s">
        <v>466</v>
      </c>
      <c r="E147" s="426" t="s">
        <v>117</v>
      </c>
      <c r="F147" s="427" t="s">
        <v>304</v>
      </c>
    </row>
    <row r="148" spans="4:6" ht="12.75">
      <c r="D148" s="426" t="s">
        <v>467</v>
      </c>
      <c r="E148" s="426" t="s">
        <v>118</v>
      </c>
      <c r="F148" s="427" t="s">
        <v>468</v>
      </c>
    </row>
    <row r="149" spans="4:6" ht="12.75">
      <c r="D149" s="426" t="s">
        <v>614</v>
      </c>
      <c r="E149" s="426" t="s">
        <v>117</v>
      </c>
      <c r="F149" s="427" t="s">
        <v>615</v>
      </c>
    </row>
    <row r="150" spans="4:6" ht="12.75">
      <c r="D150" s="426" t="s">
        <v>616</v>
      </c>
      <c r="E150" s="426" t="s">
        <v>119</v>
      </c>
      <c r="F150" s="427" t="s">
        <v>617</v>
      </c>
    </row>
    <row r="151" spans="4:6" ht="12.75">
      <c r="D151" s="426" t="s">
        <v>618</v>
      </c>
      <c r="E151" s="426" t="s">
        <v>122</v>
      </c>
      <c r="F151" s="427" t="s">
        <v>619</v>
      </c>
    </row>
    <row r="152" spans="4:6" ht="12.75">
      <c r="D152" s="426" t="s">
        <v>469</v>
      </c>
      <c r="E152" s="426" t="s">
        <v>119</v>
      </c>
      <c r="F152" s="427" t="s">
        <v>470</v>
      </c>
    </row>
    <row r="153" spans="4:6" ht="12.75">
      <c r="D153" s="426" t="s">
        <v>620</v>
      </c>
      <c r="E153" s="426" t="s">
        <v>120</v>
      </c>
      <c r="F153" s="427" t="s">
        <v>621</v>
      </c>
    </row>
    <row r="154" spans="4:6" ht="12.75">
      <c r="D154" s="426" t="s">
        <v>622</v>
      </c>
      <c r="E154" s="426" t="s">
        <v>119</v>
      </c>
      <c r="F154" s="427" t="s">
        <v>623</v>
      </c>
    </row>
    <row r="155" spans="4:6" ht="12.75">
      <c r="D155" s="426" t="s">
        <v>471</v>
      </c>
      <c r="E155" s="426" t="s">
        <v>118</v>
      </c>
      <c r="F155" s="427" t="s">
        <v>272</v>
      </c>
    </row>
    <row r="156" spans="4:6" ht="12.75">
      <c r="D156" s="426" t="s">
        <v>472</v>
      </c>
      <c r="E156" s="426" t="s">
        <v>121</v>
      </c>
      <c r="F156" s="427" t="s">
        <v>273</v>
      </c>
    </row>
    <row r="157" spans="4:6" ht="12.75">
      <c r="D157" s="426" t="s">
        <v>473</v>
      </c>
      <c r="E157" s="426" t="s">
        <v>117</v>
      </c>
      <c r="F157" s="427" t="s">
        <v>474</v>
      </c>
    </row>
    <row r="158" spans="4:6" ht="12.75">
      <c r="D158" s="426" t="s">
        <v>624</v>
      </c>
      <c r="E158" s="426" t="s">
        <v>119</v>
      </c>
      <c r="F158" s="427" t="s">
        <v>625</v>
      </c>
    </row>
    <row r="159" spans="4:6" ht="12.75">
      <c r="D159" s="426" t="s">
        <v>475</v>
      </c>
      <c r="E159" s="426" t="s">
        <v>118</v>
      </c>
      <c r="F159" s="427" t="s">
        <v>274</v>
      </c>
    </row>
    <row r="160" spans="4:6" ht="12.75">
      <c r="D160" s="426" t="s">
        <v>626</v>
      </c>
      <c r="E160" s="426" t="s">
        <v>121</v>
      </c>
      <c r="F160" s="427" t="s">
        <v>627</v>
      </c>
    </row>
    <row r="161" spans="4:6" ht="12.75">
      <c r="D161" s="426" t="s">
        <v>628</v>
      </c>
      <c r="E161" s="426" t="s">
        <v>117</v>
      </c>
      <c r="F161" s="427" t="s">
        <v>629</v>
      </c>
    </row>
    <row r="162" spans="4:6" ht="12.75">
      <c r="D162" s="426" t="s">
        <v>476</v>
      </c>
      <c r="E162" s="426" t="s">
        <v>117</v>
      </c>
      <c r="F162" s="427" t="s">
        <v>275</v>
      </c>
    </row>
    <row r="163" spans="4:6" ht="12.75">
      <c r="D163" s="426" t="s">
        <v>477</v>
      </c>
      <c r="E163" s="426" t="s">
        <v>119</v>
      </c>
      <c r="F163" s="427" t="s">
        <v>478</v>
      </c>
    </row>
    <row r="164" spans="4:6" ht="12.75">
      <c r="D164" s="426" t="s">
        <v>479</v>
      </c>
      <c r="E164" s="426" t="s">
        <v>120</v>
      </c>
      <c r="F164" s="427" t="s">
        <v>276</v>
      </c>
    </row>
    <row r="165" spans="4:6" ht="12.75">
      <c r="D165" s="426" t="s">
        <v>630</v>
      </c>
      <c r="E165" s="426" t="s">
        <v>118</v>
      </c>
      <c r="F165" s="427" t="s">
        <v>631</v>
      </c>
    </row>
    <row r="166" spans="4:6" ht="12.75">
      <c r="D166" s="426" t="s">
        <v>480</v>
      </c>
      <c r="E166" s="426" t="s">
        <v>117</v>
      </c>
      <c r="F166" s="427" t="s">
        <v>324</v>
      </c>
    </row>
    <row r="167" spans="4:6" ht="12.75">
      <c r="D167" s="426" t="s">
        <v>632</v>
      </c>
      <c r="E167" s="426" t="s">
        <v>118</v>
      </c>
      <c r="F167" s="427" t="s">
        <v>633</v>
      </c>
    </row>
    <row r="168" spans="4:6" ht="12.75">
      <c r="D168" s="426" t="s">
        <v>634</v>
      </c>
      <c r="E168" s="426" t="s">
        <v>118</v>
      </c>
      <c r="F168" s="427" t="s">
        <v>635</v>
      </c>
    </row>
    <row r="169" spans="4:6" ht="12.75">
      <c r="D169" s="426" t="s">
        <v>636</v>
      </c>
      <c r="E169" s="426" t="s">
        <v>119</v>
      </c>
      <c r="F169" s="427" t="s">
        <v>637</v>
      </c>
    </row>
    <row r="170" spans="4:6" ht="12.75">
      <c r="D170" s="426" t="s">
        <v>481</v>
      </c>
      <c r="E170" s="426" t="s">
        <v>123</v>
      </c>
      <c r="F170" s="427" t="s">
        <v>277</v>
      </c>
    </row>
    <row r="171" spans="4:6" ht="12.75">
      <c r="D171" s="426" t="s">
        <v>482</v>
      </c>
      <c r="E171" s="426" t="s">
        <v>118</v>
      </c>
      <c r="F171" s="427" t="s">
        <v>483</v>
      </c>
    </row>
    <row r="172" spans="4:6" ht="12.75">
      <c r="D172" s="426" t="s">
        <v>484</v>
      </c>
      <c r="E172" s="426" t="s">
        <v>117</v>
      </c>
      <c r="F172" s="427" t="s">
        <v>278</v>
      </c>
    </row>
    <row r="173" spans="4:6" ht="12.75">
      <c r="D173" s="426" t="s">
        <v>485</v>
      </c>
      <c r="E173" s="426" t="s">
        <v>117</v>
      </c>
      <c r="F173" s="427" t="s">
        <v>325</v>
      </c>
    </row>
    <row r="174" spans="4:6" ht="12.75">
      <c r="D174" s="426" t="s">
        <v>638</v>
      </c>
      <c r="E174" s="426" t="s">
        <v>120</v>
      </c>
      <c r="F174" s="427" t="s">
        <v>639</v>
      </c>
    </row>
    <row r="175" spans="4:6" ht="12.75">
      <c r="D175" s="426" t="s">
        <v>486</v>
      </c>
      <c r="E175" s="426" t="s">
        <v>121</v>
      </c>
      <c r="F175" s="427" t="s">
        <v>326</v>
      </c>
    </row>
    <row r="176" spans="4:6" ht="12.75">
      <c r="D176" s="426" t="s">
        <v>487</v>
      </c>
      <c r="E176" s="426" t="s">
        <v>121</v>
      </c>
      <c r="F176" s="427" t="s">
        <v>279</v>
      </c>
    </row>
    <row r="177" spans="4:6" ht="12.75">
      <c r="D177" s="426" t="s">
        <v>640</v>
      </c>
      <c r="E177" s="426" t="s">
        <v>117</v>
      </c>
      <c r="F177" s="427" t="s">
        <v>641</v>
      </c>
    </row>
    <row r="178" spans="4:6" ht="12.75">
      <c r="D178" s="426" t="s">
        <v>488</v>
      </c>
      <c r="E178" s="426" t="s">
        <v>121</v>
      </c>
      <c r="F178" s="427" t="s">
        <v>489</v>
      </c>
    </row>
    <row r="179" spans="4:6" ht="12.75">
      <c r="D179" s="426" t="s">
        <v>642</v>
      </c>
      <c r="E179" s="426" t="s">
        <v>119</v>
      </c>
      <c r="F179" s="427" t="s">
        <v>643</v>
      </c>
    </row>
    <row r="180" spans="4:6" ht="12.75">
      <c r="D180" s="426" t="s">
        <v>490</v>
      </c>
      <c r="E180" s="426" t="s">
        <v>118</v>
      </c>
      <c r="F180" s="427" t="s">
        <v>280</v>
      </c>
    </row>
    <row r="181" spans="4:6" ht="12.75">
      <c r="D181" s="426" t="s">
        <v>491</v>
      </c>
      <c r="E181" s="426" t="s">
        <v>120</v>
      </c>
      <c r="F181" s="427" t="s">
        <v>492</v>
      </c>
    </row>
    <row r="182" spans="4:6" ht="12.75">
      <c r="D182" s="426" t="s">
        <v>493</v>
      </c>
      <c r="E182" s="426" t="s">
        <v>121</v>
      </c>
      <c r="F182" s="427" t="s">
        <v>494</v>
      </c>
    </row>
    <row r="183" spans="4:6" ht="12.75">
      <c r="D183" s="426" t="s">
        <v>495</v>
      </c>
      <c r="E183" s="426" t="s">
        <v>122</v>
      </c>
      <c r="F183" s="427" t="s">
        <v>496</v>
      </c>
    </row>
    <row r="184" spans="4:6" ht="12.75">
      <c r="D184" s="426" t="s">
        <v>497</v>
      </c>
      <c r="E184" s="426" t="s">
        <v>119</v>
      </c>
      <c r="F184" s="427" t="s">
        <v>281</v>
      </c>
    </row>
    <row r="185" spans="4:6" ht="12.75">
      <c r="D185" s="426" t="s">
        <v>498</v>
      </c>
      <c r="E185" s="426" t="s">
        <v>118</v>
      </c>
      <c r="F185" s="427" t="s">
        <v>282</v>
      </c>
    </row>
    <row r="186" spans="4:6" ht="12.75">
      <c r="D186" s="426" t="s">
        <v>644</v>
      </c>
      <c r="E186" s="426" t="s">
        <v>117</v>
      </c>
      <c r="F186" s="427" t="s">
        <v>645</v>
      </c>
    </row>
    <row r="187" spans="4:6" ht="12.75">
      <c r="D187" s="426" t="s">
        <v>499</v>
      </c>
      <c r="E187" s="426" t="s">
        <v>117</v>
      </c>
      <c r="F187" s="427" t="s">
        <v>500</v>
      </c>
    </row>
    <row r="188" spans="4:6" ht="12.75">
      <c r="D188" s="426" t="s">
        <v>501</v>
      </c>
      <c r="E188" s="426" t="s">
        <v>121</v>
      </c>
      <c r="F188" s="427" t="s">
        <v>327</v>
      </c>
    </row>
    <row r="189" spans="4:6" ht="12.75">
      <c r="D189" s="426" t="s">
        <v>502</v>
      </c>
      <c r="E189" s="426" t="s">
        <v>117</v>
      </c>
      <c r="F189" s="427" t="s">
        <v>283</v>
      </c>
    </row>
    <row r="190" spans="4:6" ht="12.75">
      <c r="D190" s="426" t="s">
        <v>503</v>
      </c>
      <c r="E190" s="426" t="s">
        <v>118</v>
      </c>
      <c r="F190" s="427" t="s">
        <v>504</v>
      </c>
    </row>
    <row r="191" spans="4:6" ht="12.75">
      <c r="D191" s="426" t="s">
        <v>505</v>
      </c>
      <c r="E191" s="426" t="s">
        <v>118</v>
      </c>
      <c r="F191" s="427" t="s">
        <v>284</v>
      </c>
    </row>
    <row r="192" spans="4:6" ht="12.75">
      <c r="D192" s="426" t="s">
        <v>506</v>
      </c>
      <c r="E192" s="426" t="s">
        <v>119</v>
      </c>
      <c r="F192" s="427" t="s">
        <v>285</v>
      </c>
    </row>
    <row r="193" spans="4:6" ht="12.75">
      <c r="D193" s="426" t="s">
        <v>507</v>
      </c>
      <c r="E193" s="426" t="s">
        <v>117</v>
      </c>
      <c r="F193" s="427" t="s">
        <v>328</v>
      </c>
    </row>
    <row r="194" spans="4:6" ht="12.75">
      <c r="D194" s="426" t="s">
        <v>508</v>
      </c>
      <c r="E194" s="426" t="s">
        <v>117</v>
      </c>
      <c r="F194" s="427" t="s">
        <v>329</v>
      </c>
    </row>
    <row r="195" spans="4:6" ht="12.75">
      <c r="D195" s="426" t="s">
        <v>509</v>
      </c>
      <c r="E195" s="426" t="s">
        <v>118</v>
      </c>
      <c r="F195" s="427" t="s">
        <v>286</v>
      </c>
    </row>
    <row r="196" spans="4:6" ht="12.75">
      <c r="D196" s="426" t="s">
        <v>510</v>
      </c>
      <c r="E196" s="426" t="s">
        <v>121</v>
      </c>
      <c r="F196" s="427" t="s">
        <v>511</v>
      </c>
    </row>
    <row r="197" spans="4:6" ht="12.75">
      <c r="D197" s="426" t="s">
        <v>512</v>
      </c>
      <c r="E197" s="426" t="s">
        <v>123</v>
      </c>
      <c r="F197" s="427" t="s">
        <v>287</v>
      </c>
    </row>
    <row r="198" spans="4:6" ht="12.75">
      <c r="D198" s="426" t="s">
        <v>646</v>
      </c>
      <c r="E198" s="426" t="s">
        <v>121</v>
      </c>
      <c r="F198" s="427" t="s">
        <v>647</v>
      </c>
    </row>
    <row r="199" spans="4:6" ht="12.75">
      <c r="D199" s="426" t="s">
        <v>513</v>
      </c>
      <c r="E199" s="426" t="s">
        <v>123</v>
      </c>
      <c r="F199" s="427" t="s">
        <v>288</v>
      </c>
    </row>
    <row r="200" spans="4:6" ht="12.75">
      <c r="D200" s="426" t="s">
        <v>514</v>
      </c>
      <c r="E200" s="426" t="s">
        <v>117</v>
      </c>
      <c r="F200" s="427" t="s">
        <v>289</v>
      </c>
    </row>
    <row r="201" spans="4:6" ht="12.75">
      <c r="D201" s="426" t="s">
        <v>648</v>
      </c>
      <c r="E201" s="426" t="s">
        <v>121</v>
      </c>
      <c r="F201" s="427" t="s">
        <v>649</v>
      </c>
    </row>
    <row r="202" spans="4:6" ht="12.75">
      <c r="D202" s="426" t="s">
        <v>650</v>
      </c>
      <c r="E202" s="426" t="s">
        <v>119</v>
      </c>
      <c r="F202" s="427" t="s">
        <v>651</v>
      </c>
    </row>
    <row r="203" spans="4:6" ht="12.75">
      <c r="D203" s="426" t="s">
        <v>515</v>
      </c>
      <c r="E203" s="426" t="s">
        <v>119</v>
      </c>
      <c r="F203" s="427" t="s">
        <v>516</v>
      </c>
    </row>
    <row r="204" spans="4:6" ht="12.75">
      <c r="D204" s="426" t="s">
        <v>517</v>
      </c>
      <c r="E204" s="426" t="s">
        <v>121</v>
      </c>
      <c r="F204" s="427" t="s">
        <v>290</v>
      </c>
    </row>
    <row r="205" spans="4:6" ht="12.75">
      <c r="D205" s="426" t="s">
        <v>518</v>
      </c>
      <c r="E205" s="426" t="s">
        <v>123</v>
      </c>
      <c r="F205" s="427" t="s">
        <v>305</v>
      </c>
    </row>
    <row r="206" spans="4:6" ht="12.75">
      <c r="D206" s="426" t="s">
        <v>652</v>
      </c>
      <c r="E206" s="426" t="s">
        <v>119</v>
      </c>
      <c r="F206" s="427" t="s">
        <v>653</v>
      </c>
    </row>
    <row r="207" spans="4:6" ht="12.75">
      <c r="D207" s="426" t="s">
        <v>654</v>
      </c>
      <c r="E207" s="426" t="s">
        <v>121</v>
      </c>
      <c r="F207" s="427" t="s">
        <v>655</v>
      </c>
    </row>
    <row r="208" spans="4:6" ht="12.75">
      <c r="D208" s="426" t="s">
        <v>519</v>
      </c>
      <c r="E208" s="426" t="s">
        <v>121</v>
      </c>
      <c r="F208" s="427" t="s">
        <v>291</v>
      </c>
    </row>
    <row r="209" spans="4:6" ht="12.75">
      <c r="D209" s="426" t="s">
        <v>520</v>
      </c>
      <c r="E209" s="426" t="s">
        <v>117</v>
      </c>
      <c r="F209" s="427" t="s">
        <v>330</v>
      </c>
    </row>
    <row r="210" spans="4:6" ht="12.75">
      <c r="D210" s="426" t="s">
        <v>656</v>
      </c>
      <c r="E210" s="426" t="s">
        <v>117</v>
      </c>
      <c r="F210" s="427" t="s">
        <v>657</v>
      </c>
    </row>
    <row r="211" spans="4:6" ht="12.75">
      <c r="D211" s="426" t="s">
        <v>521</v>
      </c>
      <c r="E211" s="426" t="s">
        <v>123</v>
      </c>
      <c r="F211" s="427" t="s">
        <v>292</v>
      </c>
    </row>
    <row r="212" spans="4:6" ht="12.75">
      <c r="D212" s="426" t="s">
        <v>522</v>
      </c>
      <c r="E212" s="426" t="s">
        <v>117</v>
      </c>
      <c r="F212" s="427" t="s">
        <v>523</v>
      </c>
    </row>
  </sheetData>
  <sheetProtection password="CA59" sheet="1" selectLockedCells="1" selectUnlockedCells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M225"/>
  <sheetViews>
    <sheetView showGridLines="0" showRowColHeaders="0" tabSelected="1" zoomScale="120" zoomScaleNormal="120" zoomScalePageLayoutView="0" workbookViewId="0" topLeftCell="A1">
      <selection activeCell="B5" sqref="B5"/>
    </sheetView>
  </sheetViews>
  <sheetFormatPr defaultColWidth="11.5" defaultRowHeight="12.75"/>
  <cols>
    <col min="1" max="1" width="2.66015625" style="4" customWidth="1"/>
    <col min="2" max="2" width="23" style="4" customWidth="1"/>
    <col min="3" max="3" width="2.16015625" style="4" customWidth="1"/>
    <col min="4" max="4" width="27.33203125" style="4" customWidth="1"/>
    <col min="5" max="5" width="33.33203125" style="4" customWidth="1"/>
    <col min="6" max="6" width="14.83203125" style="4" customWidth="1"/>
    <col min="7" max="7" width="18.33203125" style="4" customWidth="1"/>
    <col min="8" max="8" width="12" style="4" customWidth="1"/>
    <col min="9" max="9" width="2.16015625" style="4" customWidth="1"/>
    <col min="10" max="10" width="11.83203125" style="4" customWidth="1"/>
    <col min="11" max="11" width="15.33203125" style="4" customWidth="1"/>
    <col min="12" max="17" width="11.83203125" style="4" customWidth="1"/>
    <col min="18" max="16384" width="11.5" style="4" customWidth="1"/>
  </cols>
  <sheetData>
    <row r="1" spans="1:39" ht="8.25" customHeight="1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</row>
    <row r="2" spans="1:39" ht="33" customHeight="1">
      <c r="A2" s="3"/>
      <c r="B2" s="79" t="s">
        <v>74</v>
      </c>
      <c r="C2" s="3"/>
      <c r="D2" s="305" t="s">
        <v>306</v>
      </c>
      <c r="E2" s="305"/>
      <c r="F2" s="305"/>
      <c r="G2" s="305"/>
      <c r="H2" s="2"/>
      <c r="I2" s="3"/>
      <c r="J2" s="3"/>
      <c r="K2" s="3"/>
      <c r="L2" s="3"/>
      <c r="M2" s="3"/>
      <c r="N2" s="3"/>
      <c r="O2" s="3"/>
      <c r="P2" s="3"/>
      <c r="Q2" s="3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</row>
    <row r="3" spans="1:39" ht="11.25" customHeight="1" thickBot="1">
      <c r="A3" s="2"/>
      <c r="B3" s="3"/>
      <c r="C3" s="3"/>
      <c r="D3" s="3"/>
      <c r="E3" s="3"/>
      <c r="F3" s="3"/>
      <c r="G3" s="3"/>
      <c r="H3" s="2"/>
      <c r="I3" s="319" t="s">
        <v>124</v>
      </c>
      <c r="J3" s="319"/>
      <c r="K3" s="319"/>
      <c r="L3" s="318" t="s">
        <v>183</v>
      </c>
      <c r="M3" s="318"/>
      <c r="N3" s="3"/>
      <c r="O3" s="3"/>
      <c r="P3" s="3"/>
      <c r="Q3" s="3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</row>
    <row r="4" spans="1:39" ht="18" customHeight="1" thickBot="1">
      <c r="A4" s="2"/>
      <c r="B4" s="5" t="s">
        <v>0</v>
      </c>
      <c r="C4" s="2"/>
      <c r="D4" s="188" t="s">
        <v>1</v>
      </c>
      <c r="E4" s="189" t="s">
        <v>2</v>
      </c>
      <c r="F4" s="189" t="s">
        <v>4</v>
      </c>
      <c r="G4" s="190" t="s">
        <v>3</v>
      </c>
      <c r="H4" s="2"/>
      <c r="I4" s="317">
        <f>12-(COUNTA(H10:H24))</f>
        <v>12</v>
      </c>
      <c r="J4" s="317"/>
      <c r="K4" s="317"/>
      <c r="L4" s="318" t="s">
        <v>184</v>
      </c>
      <c r="M4" s="318"/>
      <c r="N4" s="3"/>
      <c r="O4" s="3"/>
      <c r="P4" s="3"/>
      <c r="Q4" s="3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</row>
    <row r="5" spans="1:39" ht="18.75" customHeight="1" thickBot="1">
      <c r="A5" s="2"/>
      <c r="B5" s="17"/>
      <c r="C5" s="2"/>
      <c r="D5" s="21"/>
      <c r="E5" s="21"/>
      <c r="F5" s="22"/>
      <c r="G5" s="20"/>
      <c r="H5" s="2"/>
      <c r="I5" s="315" t="s">
        <v>136</v>
      </c>
      <c r="J5" s="315"/>
      <c r="K5" s="315"/>
      <c r="L5" s="3"/>
      <c r="M5" s="3"/>
      <c r="N5" s="3"/>
      <c r="O5" s="3"/>
      <c r="P5" s="3"/>
      <c r="Q5" s="3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</row>
    <row r="6" spans="1:39" ht="18" customHeight="1" thickBot="1">
      <c r="A6" s="2"/>
      <c r="B6" s="5" t="s">
        <v>46</v>
      </c>
      <c r="C6" s="2"/>
      <c r="D6" s="6"/>
      <c r="E6" s="189" t="s">
        <v>203</v>
      </c>
      <c r="F6" s="7"/>
      <c r="G6" s="6"/>
      <c r="H6" s="2"/>
      <c r="I6" s="316" t="s">
        <v>137</v>
      </c>
      <c r="J6" s="316"/>
      <c r="K6" s="316"/>
      <c r="L6" s="3"/>
      <c r="M6" s="3"/>
      <c r="N6" s="3"/>
      <c r="O6" s="3"/>
      <c r="P6" s="3"/>
      <c r="Q6" s="3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</row>
    <row r="7" spans="1:39" ht="18" customHeight="1" thickBot="1">
      <c r="A7" s="2"/>
      <c r="B7" s="19"/>
      <c r="C7" s="2"/>
      <c r="D7" s="6"/>
      <c r="E7" s="21"/>
      <c r="F7" s="7"/>
      <c r="G7" s="6"/>
      <c r="H7" s="2"/>
      <c r="I7" s="3"/>
      <c r="J7" s="306" t="s">
        <v>77</v>
      </c>
      <c r="K7" s="307"/>
      <c r="L7" s="307"/>
      <c r="M7" s="308"/>
      <c r="N7" s="3"/>
      <c r="O7" s="3"/>
      <c r="P7" s="3"/>
      <c r="Q7" s="3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</row>
    <row r="8" spans="1:39" ht="6" customHeight="1" thickBot="1">
      <c r="A8" s="2"/>
      <c r="B8" s="2"/>
      <c r="C8" s="2"/>
      <c r="D8" s="2"/>
      <c r="E8" s="2"/>
      <c r="F8" s="3"/>
      <c r="G8" s="3"/>
      <c r="H8" s="2"/>
      <c r="I8" s="3"/>
      <c r="J8" s="309"/>
      <c r="K8" s="310"/>
      <c r="L8" s="310"/>
      <c r="M8" s="311"/>
      <c r="N8" s="3"/>
      <c r="O8" s="3"/>
      <c r="P8" s="3"/>
      <c r="Q8" s="3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</row>
    <row r="9" spans="1:39" ht="27" customHeight="1" thickBot="1">
      <c r="A9" s="2"/>
      <c r="B9" s="8"/>
      <c r="C9" s="9"/>
      <c r="D9" s="197" t="s">
        <v>5</v>
      </c>
      <c r="E9" s="189" t="s">
        <v>6</v>
      </c>
      <c r="F9" s="189" t="s">
        <v>44</v>
      </c>
      <c r="G9" s="198" t="s">
        <v>230</v>
      </c>
      <c r="H9" s="190" t="s">
        <v>32</v>
      </c>
      <c r="I9" s="3"/>
      <c r="J9" s="74" t="s">
        <v>138</v>
      </c>
      <c r="K9" s="312"/>
      <c r="L9" s="313"/>
      <c r="M9" s="314"/>
      <c r="N9" s="3"/>
      <c r="O9" s="3"/>
      <c r="P9" s="3"/>
      <c r="Q9" s="3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</row>
    <row r="10" spans="1:39" ht="18" customHeight="1">
      <c r="A10" s="2"/>
      <c r="B10" s="185" t="s">
        <v>139</v>
      </c>
      <c r="C10" s="10"/>
      <c r="D10" s="17"/>
      <c r="E10" s="11" t="str">
        <f>_xlfn.IFERROR(IF(D10&lt;&gt;"",VLOOKUP(D10,info_joueur,2,FALSE)," "),"")</f>
        <v> </v>
      </c>
      <c r="F10" s="11" t="str">
        <f>_xlfn.IFERROR(IF(D10&lt;&gt;"",VLOOKUP(D10,info_joueur,3,FALSE)," "),"")</f>
        <v> </v>
      </c>
      <c r="G10" s="17"/>
      <c r="H10" s="12"/>
      <c r="I10" s="3"/>
      <c r="J10" s="300" t="s">
        <v>76</v>
      </c>
      <c r="K10" s="286">
        <f>IF(K9&lt;&gt;"",VLOOKUP(K9,données!$I$2:$L$23,2,FALSE),"")</f>
      </c>
      <c r="L10" s="287"/>
      <c r="M10" s="288"/>
      <c r="N10" s="3"/>
      <c r="O10" s="3"/>
      <c r="P10" s="3"/>
      <c r="Q10" s="3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</row>
    <row r="11" spans="1:39" ht="18" customHeight="1">
      <c r="A11" s="2"/>
      <c r="B11" s="186" t="s">
        <v>140</v>
      </c>
      <c r="C11" s="10"/>
      <c r="D11" s="17"/>
      <c r="E11" s="11" t="str">
        <f>_xlfn.IFERROR(IF(D11&lt;&gt;"",VLOOKUP(D11,info_joueur,2,FALSE)," "),"")</f>
        <v> </v>
      </c>
      <c r="F11" s="11" t="str">
        <f>_xlfn.IFERROR(IF(D11&lt;&gt;"",VLOOKUP(D11,info_joueur,3,FALSE)," "),"")</f>
        <v> </v>
      </c>
      <c r="G11" s="18"/>
      <c r="H11" s="13"/>
      <c r="I11" s="3"/>
      <c r="J11" s="301"/>
      <c r="K11" s="286">
        <f>IF(K9&lt;&gt;"",VLOOKUP(K9,données!$I$2:$L$23,3,FALSE),"")</f>
      </c>
      <c r="L11" s="287"/>
      <c r="M11" s="288"/>
      <c r="N11" s="3"/>
      <c r="O11" s="3"/>
      <c r="P11" s="3"/>
      <c r="Q11" s="3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</row>
    <row r="12" spans="1:39" ht="18" customHeight="1" thickBot="1">
      <c r="A12" s="2"/>
      <c r="B12" s="187" t="s">
        <v>141</v>
      </c>
      <c r="C12" s="10"/>
      <c r="D12" s="17"/>
      <c r="E12" s="11" t="str">
        <f>_xlfn.IFERROR(IF(D12&lt;&gt;"",VLOOKUP(D12,info_joueur,2,FALSE)," "),"")</f>
        <v> </v>
      </c>
      <c r="F12" s="11" t="str">
        <f>_xlfn.IFERROR(IF(D12&lt;&gt;"",VLOOKUP(D12,info_joueur,3,FALSE)," "),"")</f>
        <v> </v>
      </c>
      <c r="G12" s="18"/>
      <c r="H12" s="1"/>
      <c r="I12" s="3"/>
      <c r="J12" s="75" t="s">
        <v>93</v>
      </c>
      <c r="K12" s="286">
        <f>IF(K9&lt;&gt;"",VLOOKUP(K9,données!$I$2:$L$23,4,FALSE),"")</f>
      </c>
      <c r="L12" s="287"/>
      <c r="M12" s="288"/>
      <c r="N12" s="3"/>
      <c r="O12" s="3"/>
      <c r="P12" s="3"/>
      <c r="Q12" s="3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</row>
    <row r="13" spans="1:39" ht="3.75" customHeight="1" thickBot="1">
      <c r="A13" s="2"/>
      <c r="B13" s="8"/>
      <c r="C13" s="9"/>
      <c r="D13" s="3"/>
      <c r="E13" s="3"/>
      <c r="F13" s="3"/>
      <c r="G13" s="3"/>
      <c r="H13" s="2"/>
      <c r="I13" s="3"/>
      <c r="J13" s="3"/>
      <c r="K13" s="3"/>
      <c r="L13" s="3"/>
      <c r="M13" s="3"/>
      <c r="N13" s="3"/>
      <c r="O13" s="3"/>
      <c r="P13" s="3"/>
      <c r="Q13" s="3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</row>
    <row r="14" spans="1:39" ht="18" customHeight="1">
      <c r="A14" s="2"/>
      <c r="B14" s="191" t="s">
        <v>142</v>
      </c>
      <c r="C14" s="2"/>
      <c r="D14" s="17"/>
      <c r="E14" s="11" t="str">
        <f>_xlfn.IFERROR(IF(D14&lt;&gt;"",VLOOKUP(D14,info_joueur,2,FALSE)," "),"")</f>
        <v> </v>
      </c>
      <c r="F14" s="11" t="str">
        <f>_xlfn.IFERROR(IF(D14&lt;&gt;"",VLOOKUP(D14,info_joueur,3,FALSE)," "),"")</f>
        <v> </v>
      </c>
      <c r="G14" s="17"/>
      <c r="H14" s="2"/>
      <c r="I14" s="3"/>
      <c r="J14" s="3"/>
      <c r="K14" s="3"/>
      <c r="L14" s="3"/>
      <c r="M14" s="3"/>
      <c r="N14" s="3"/>
      <c r="O14" s="3"/>
      <c r="P14" s="3"/>
      <c r="Q14" s="3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</row>
    <row r="15" spans="1:39" ht="17.25" customHeight="1">
      <c r="A15" s="2"/>
      <c r="B15" s="192" t="s">
        <v>143</v>
      </c>
      <c r="C15" s="2"/>
      <c r="D15" s="17"/>
      <c r="E15" s="11" t="str">
        <f>_xlfn.IFERROR(IF(D15&lt;&gt;"",VLOOKUP(D15,info_joueur,2,FALSE)," "),"")</f>
        <v> </v>
      </c>
      <c r="F15" s="11" t="str">
        <f>_xlfn.IFERROR(IF(D15&lt;&gt;"",VLOOKUP(D15,info_joueur,3,FALSE)," "),"")</f>
        <v> </v>
      </c>
      <c r="G15" s="18"/>
      <c r="H15" s="2"/>
      <c r="I15" s="3"/>
      <c r="J15" s="3"/>
      <c r="K15" s="3"/>
      <c r="L15" s="3"/>
      <c r="M15" s="3"/>
      <c r="N15" s="3"/>
      <c r="O15" s="3"/>
      <c r="P15" s="3"/>
      <c r="Q15" s="3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</row>
    <row r="16" spans="1:39" ht="18" customHeight="1" thickBot="1">
      <c r="A16" s="2"/>
      <c r="B16" s="193" t="s">
        <v>144</v>
      </c>
      <c r="C16" s="2"/>
      <c r="D16" s="17"/>
      <c r="E16" s="11" t="str">
        <f>_xlfn.IFERROR(IF(D16&lt;&gt;"",VLOOKUP(D16,info_joueur,2,FALSE)," "),"")</f>
        <v> </v>
      </c>
      <c r="F16" s="11" t="str">
        <f>_xlfn.IFERROR(IF(D16&lt;&gt;"",VLOOKUP(D16,info_joueur,3,FALSE)," "),"")</f>
        <v> </v>
      </c>
      <c r="G16" s="18"/>
      <c r="H16" s="1"/>
      <c r="I16" s="3"/>
      <c r="J16" s="3"/>
      <c r="K16" s="3"/>
      <c r="L16" s="3"/>
      <c r="M16" s="3"/>
      <c r="N16" s="3"/>
      <c r="O16" s="3"/>
      <c r="P16" s="3"/>
      <c r="Q16" s="3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</row>
    <row r="17" spans="1:39" ht="3.75" customHeight="1" thickBot="1">
      <c r="A17" s="2"/>
      <c r="B17" s="8"/>
      <c r="C17" s="9"/>
      <c r="D17" s="3"/>
      <c r="E17" s="3"/>
      <c r="F17" s="3"/>
      <c r="G17" s="3"/>
      <c r="H17" s="2"/>
      <c r="I17" s="3"/>
      <c r="J17" s="3"/>
      <c r="K17" s="3"/>
      <c r="L17" s="3"/>
      <c r="M17" s="3"/>
      <c r="N17" s="3"/>
      <c r="O17" s="3"/>
      <c r="P17" s="3"/>
      <c r="Q17" s="3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</row>
    <row r="18" spans="1:39" ht="18" customHeight="1">
      <c r="A18" s="3"/>
      <c r="B18" s="194" t="s">
        <v>145</v>
      </c>
      <c r="C18" s="2"/>
      <c r="D18" s="17"/>
      <c r="E18" s="11" t="str">
        <f>_xlfn.IFERROR(IF(D18&lt;&gt;"",VLOOKUP(D18,info_joueur,2,FALSE)," "),"")</f>
        <v> </v>
      </c>
      <c r="F18" s="11" t="str">
        <f>_xlfn.IFERROR(IF(D18&lt;&gt;"",VLOOKUP(D18,info_joueur,3,FALSE)," "),"")</f>
        <v> </v>
      </c>
      <c r="G18" s="17"/>
      <c r="H18" s="3"/>
      <c r="I18" s="3"/>
      <c r="J18" s="3"/>
      <c r="K18" s="3"/>
      <c r="L18" s="3"/>
      <c r="M18" s="3"/>
      <c r="N18" s="3"/>
      <c r="O18" s="3"/>
      <c r="P18" s="3"/>
      <c r="Q18" s="3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</row>
    <row r="19" spans="1:39" ht="18" customHeight="1">
      <c r="A19" s="3"/>
      <c r="B19" s="195" t="s">
        <v>146</v>
      </c>
      <c r="C19" s="2"/>
      <c r="D19" s="17"/>
      <c r="E19" s="11" t="str">
        <f>_xlfn.IFERROR(IF(D19&lt;&gt;"",VLOOKUP(D19,info_joueur,2,FALSE)," "),"")</f>
        <v> </v>
      </c>
      <c r="F19" s="11" t="str">
        <f>_xlfn.IFERROR(IF(D19&lt;&gt;"",VLOOKUP(D19,info_joueur,3,FALSE)," "),"")</f>
        <v> </v>
      </c>
      <c r="G19" s="18"/>
      <c r="H19" s="3"/>
      <c r="I19" s="3"/>
      <c r="J19" s="3"/>
      <c r="K19" s="3"/>
      <c r="L19" s="3"/>
      <c r="M19" s="3"/>
      <c r="N19" s="3"/>
      <c r="O19" s="3"/>
      <c r="P19" s="3"/>
      <c r="Q19" s="3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</row>
    <row r="20" spans="1:39" ht="18" customHeight="1" thickBot="1">
      <c r="A20" s="3"/>
      <c r="B20" s="196" t="s">
        <v>147</v>
      </c>
      <c r="C20" s="2"/>
      <c r="D20" s="17"/>
      <c r="E20" s="11" t="str">
        <f>_xlfn.IFERROR(IF(D20&lt;&gt;"",VLOOKUP(D20,info_joueur,2,FALSE)," "),"")</f>
        <v> </v>
      </c>
      <c r="F20" s="11" t="str">
        <f>_xlfn.IFERROR(IF(D20&lt;&gt;"",VLOOKUP(D20,info_joueur,3,FALSE)," "),"")</f>
        <v> </v>
      </c>
      <c r="G20" s="18"/>
      <c r="H20" s="1"/>
      <c r="I20" s="3"/>
      <c r="J20" s="3"/>
      <c r="K20" s="3"/>
      <c r="L20" s="3"/>
      <c r="M20" s="3"/>
      <c r="N20" s="3"/>
      <c r="O20" s="3"/>
      <c r="P20" s="3"/>
      <c r="Q20" s="3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</row>
    <row r="21" spans="2:8" s="80" customFormat="1" ht="3.75" customHeight="1" thickBot="1">
      <c r="B21" s="200"/>
      <c r="C21" s="201"/>
      <c r="D21" s="202"/>
      <c r="E21" s="202"/>
      <c r="F21" s="202"/>
      <c r="G21" s="202"/>
      <c r="H21" s="229"/>
    </row>
    <row r="22" spans="1:39" ht="18" customHeight="1">
      <c r="A22" s="3"/>
      <c r="B22" s="203" t="s">
        <v>149</v>
      </c>
      <c r="C22" s="10"/>
      <c r="D22" s="17"/>
      <c r="E22" s="11" t="str">
        <f>_xlfn.IFERROR(IF(D22&lt;&gt;"",VLOOKUP(D22,info_joueur,2,FALSE)," "),"")</f>
        <v> </v>
      </c>
      <c r="F22" s="11" t="str">
        <f>_xlfn.IFERROR(IF(D22&lt;&gt;"",VLOOKUP(D22,info_joueur,3,FALSE)," "),"")</f>
        <v> </v>
      </c>
      <c r="G22" s="17"/>
      <c r="H22" s="3"/>
      <c r="I22" s="3"/>
      <c r="J22" s="3"/>
      <c r="K22" s="3"/>
      <c r="L22" s="3"/>
      <c r="M22" s="3"/>
      <c r="N22" s="3"/>
      <c r="O22" s="3"/>
      <c r="P22" s="3"/>
      <c r="Q22" s="3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</row>
    <row r="23" spans="1:39" ht="18" customHeight="1">
      <c r="A23" s="3"/>
      <c r="B23" s="204" t="s">
        <v>150</v>
      </c>
      <c r="C23" s="10"/>
      <c r="D23" s="17"/>
      <c r="E23" s="11" t="str">
        <f>_xlfn.IFERROR(IF(D23&lt;&gt;"",VLOOKUP(D23,info_joueur,2,FALSE)," "),"")</f>
        <v> </v>
      </c>
      <c r="F23" s="11" t="str">
        <f>_xlfn.IFERROR(IF(D23&lt;&gt;"",VLOOKUP(D23,info_joueur,3,FALSE)," "),"")</f>
        <v> </v>
      </c>
      <c r="G23" s="18"/>
      <c r="H23" s="3"/>
      <c r="I23" s="3"/>
      <c r="J23" s="3"/>
      <c r="K23" s="3"/>
      <c r="L23" s="3"/>
      <c r="M23" s="3"/>
      <c r="N23" s="3"/>
      <c r="O23" s="3"/>
      <c r="P23" s="3"/>
      <c r="Q23" s="3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</row>
    <row r="24" spans="1:39" ht="18" customHeight="1" thickBot="1">
      <c r="A24" s="3"/>
      <c r="B24" s="205" t="s">
        <v>151</v>
      </c>
      <c r="C24" s="10"/>
      <c r="D24" s="17"/>
      <c r="E24" s="11" t="str">
        <f>_xlfn.IFERROR(IF(D24&lt;&gt;"",VLOOKUP(D24,info_joueur,2,FALSE)," "),"")</f>
        <v> </v>
      </c>
      <c r="F24" s="11" t="str">
        <f>_xlfn.IFERROR(IF(D24&lt;&gt;"",VLOOKUP(D24,info_joueur,3,FALSE)," "),"")</f>
        <v> </v>
      </c>
      <c r="G24" s="18"/>
      <c r="H24" s="1"/>
      <c r="I24" s="3"/>
      <c r="J24" s="3"/>
      <c r="K24" s="3"/>
      <c r="L24" s="3"/>
      <c r="M24" s="3"/>
      <c r="N24" s="3"/>
      <c r="O24" s="3"/>
      <c r="P24" s="3"/>
      <c r="Q24" s="3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</row>
    <row r="25" spans="1:39" ht="12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</row>
    <row r="26" spans="1:39" ht="17.25" customHeight="1">
      <c r="A26" s="3"/>
      <c r="B26" s="3"/>
      <c r="C26" s="3"/>
      <c r="D26" s="77" t="s">
        <v>90</v>
      </c>
      <c r="E26" s="289" t="s">
        <v>148</v>
      </c>
      <c r="F26" s="289"/>
      <c r="G26" s="289"/>
      <c r="H26" s="290"/>
      <c r="I26" s="3"/>
      <c r="J26" s="296" t="s">
        <v>293</v>
      </c>
      <c r="K26" s="297"/>
      <c r="L26" s="297"/>
      <c r="M26" s="298"/>
      <c r="N26" s="3"/>
      <c r="O26" s="3"/>
      <c r="P26" s="3"/>
      <c r="Q26" s="3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</row>
    <row r="27" spans="1:39" ht="21" customHeight="1">
      <c r="A27" s="3"/>
      <c r="B27" s="285" t="s">
        <v>658</v>
      </c>
      <c r="C27" s="3"/>
      <c r="D27" s="78"/>
      <c r="E27" s="294" t="s">
        <v>91</v>
      </c>
      <c r="F27" s="294"/>
      <c r="G27" s="294"/>
      <c r="H27" s="295"/>
      <c r="I27" s="3"/>
      <c r="J27" s="299" t="s">
        <v>294</v>
      </c>
      <c r="K27" s="294"/>
      <c r="L27" s="294"/>
      <c r="M27" s="295"/>
      <c r="N27" s="3"/>
      <c r="O27" s="3"/>
      <c r="P27" s="3"/>
      <c r="Q27" s="3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</row>
    <row r="28" spans="1:39" ht="21" customHeight="1">
      <c r="A28" s="3"/>
      <c r="B28" s="285"/>
      <c r="C28" s="3"/>
      <c r="D28" s="291" t="s">
        <v>215</v>
      </c>
      <c r="E28" s="292"/>
      <c r="F28" s="292"/>
      <c r="G28" s="292"/>
      <c r="H28" s="293"/>
      <c r="I28" s="3"/>
      <c r="J28" s="299" t="s">
        <v>295</v>
      </c>
      <c r="K28" s="294"/>
      <c r="L28" s="294"/>
      <c r="M28" s="295"/>
      <c r="N28" s="3"/>
      <c r="O28" s="3"/>
      <c r="P28" s="3"/>
      <c r="Q28" s="3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</row>
    <row r="29" spans="1:39" ht="15.75" customHeight="1">
      <c r="A29" s="3"/>
      <c r="B29" s="3"/>
      <c r="C29" s="3"/>
      <c r="D29" s="3"/>
      <c r="E29" s="3"/>
      <c r="F29" s="3"/>
      <c r="G29" s="3"/>
      <c r="H29" s="3"/>
      <c r="I29" s="3"/>
      <c r="J29" s="302" t="s">
        <v>296</v>
      </c>
      <c r="K29" s="303"/>
      <c r="L29" s="303"/>
      <c r="M29" s="304"/>
      <c r="N29" s="3"/>
      <c r="O29" s="3"/>
      <c r="P29" s="3"/>
      <c r="Q29" s="3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</row>
    <row r="30" spans="1:39" ht="25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</row>
    <row r="31" spans="1:39" ht="25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</row>
    <row r="32" spans="1:39" ht="25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</row>
    <row r="33" spans="1:39" ht="25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</row>
    <row r="34" spans="1:39" ht="25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</row>
    <row r="35" spans="1:39" ht="25.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</row>
    <row r="36" spans="1:39" ht="12.7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</row>
    <row r="37" spans="1:39" ht="12.7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</row>
    <row r="38" spans="1:39" ht="12.7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</row>
    <row r="39" spans="1:39" ht="12.7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</row>
    <row r="40" spans="1:39" ht="12.7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</row>
    <row r="41" spans="1:39" ht="12.7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</row>
    <row r="42" spans="1:39" ht="12.7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</row>
    <row r="43" spans="1:39" ht="12.7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</row>
    <row r="44" spans="1:39" ht="12.7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</row>
    <row r="45" spans="1:39" ht="12.7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</row>
    <row r="46" spans="1:39" ht="12.7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</row>
    <row r="47" spans="1:39" ht="12.7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</row>
    <row r="48" spans="1:39" ht="12.7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</row>
    <row r="49" spans="1:39" ht="12.7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</row>
    <row r="50" spans="1:39" ht="12.7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</row>
    <row r="51" spans="1:39" ht="12.7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</row>
    <row r="52" spans="1:39" ht="12.7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</row>
    <row r="53" spans="1:39" ht="12.7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</row>
    <row r="54" spans="1:39" ht="12.7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</row>
    <row r="55" spans="1:39" ht="12.7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</row>
    <row r="56" spans="1:39" ht="12.7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</row>
    <row r="57" spans="1:39" ht="12.7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</row>
    <row r="58" spans="1:39" ht="12.7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</row>
    <row r="59" spans="1:39" ht="12.7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</row>
    <row r="60" spans="1:39" ht="12.7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</row>
    <row r="61" spans="1:39" ht="12.7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</row>
    <row r="62" spans="1:39" ht="12.7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</row>
    <row r="63" spans="1:39" ht="12.7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</row>
    <row r="64" spans="1:39" ht="12.7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</row>
    <row r="65" spans="1:39" ht="12.7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</row>
    <row r="66" spans="1:39" ht="12.7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</row>
    <row r="67" spans="1:39" ht="12.7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</row>
    <row r="68" spans="1:39" ht="12.7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</row>
    <row r="69" spans="1:39" ht="12.7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</row>
    <row r="70" spans="1:39" ht="12.7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</row>
    <row r="71" spans="1:39" ht="12.7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</row>
    <row r="72" spans="1:39" ht="12.7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</row>
    <row r="73" spans="1:39" ht="12.7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</row>
    <row r="74" spans="1:39" ht="12.7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</row>
    <row r="75" spans="1:39" ht="12.7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</row>
    <row r="76" spans="1:39" ht="12.7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</row>
    <row r="77" spans="1:39" ht="12.7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</row>
    <row r="78" spans="1:39" ht="12.7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</row>
    <row r="79" spans="1:39" ht="12.7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</row>
    <row r="80" spans="1:39" ht="12.7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</row>
    <row r="81" spans="1:39" ht="12.7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</row>
    <row r="82" spans="1:39" ht="12.75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</row>
    <row r="83" spans="1:39" ht="12.75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</row>
    <row r="84" spans="1:39" ht="12.75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</row>
    <row r="85" spans="1:39" ht="12.75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</row>
    <row r="86" spans="1:39" ht="12.7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</row>
    <row r="87" spans="1:39" ht="12.7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</row>
    <row r="88" spans="1:39" ht="12.75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</row>
    <row r="89" spans="1:39" ht="12.7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</row>
    <row r="90" spans="1:39" ht="12.75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</row>
    <row r="91" spans="1:39" ht="12.75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</row>
    <row r="92" spans="1:39" ht="12.7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</row>
    <row r="93" spans="1:39" ht="12.7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</row>
    <row r="94" spans="1:39" ht="12.7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</row>
    <row r="95" spans="1:39" ht="12.7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</row>
    <row r="96" spans="1:39" ht="12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</row>
    <row r="97" spans="1:39" ht="12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</row>
    <row r="98" spans="1:39" ht="12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</row>
    <row r="99" spans="1:39" ht="12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</row>
    <row r="100" spans="1:39" ht="12.7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</row>
    <row r="101" spans="1:39" ht="12.7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</row>
    <row r="102" spans="1:39" ht="12.75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</row>
    <row r="103" spans="1:39" ht="12.75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</row>
    <row r="104" spans="1:39" ht="12.75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</row>
    <row r="105" spans="1:39" ht="12.75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</row>
    <row r="106" spans="1:39" ht="12.75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</row>
    <row r="107" spans="1:39" ht="12.75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</row>
    <row r="108" spans="1:39" ht="12.75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</row>
    <row r="109" spans="1:39" ht="12.75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</row>
    <row r="110" spans="1:39" ht="12.75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</row>
    <row r="111" spans="1:39" ht="12.75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</row>
    <row r="112" spans="1:39" ht="12.75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</row>
    <row r="113" spans="1:39" ht="12.75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</row>
    <row r="114" spans="1:39" ht="12.75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</row>
    <row r="115" spans="1:39" ht="12.75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</row>
    <row r="116" spans="1:39" ht="12.75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</row>
    <row r="117" spans="1:39" ht="12.75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</row>
    <row r="118" spans="1:39" ht="12.75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</row>
    <row r="119" spans="1:39" ht="12.75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</row>
    <row r="120" spans="1:39" ht="12.7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</row>
    <row r="121" spans="1:39" ht="12.75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</row>
    <row r="122" spans="1:39" ht="12.75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</row>
    <row r="123" spans="1:39" ht="12.75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</row>
    <row r="124" spans="1:39" ht="12.7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</row>
    <row r="125" spans="1:39" ht="12.75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</row>
    <row r="126" spans="1:39" ht="12.75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</row>
    <row r="127" spans="1:39" ht="12.75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</row>
    <row r="128" spans="1:39" ht="12.75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</row>
    <row r="129" spans="1:39" ht="12.75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</row>
    <row r="130" spans="1:39" ht="12.75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</row>
    <row r="131" spans="1:39" ht="12.75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</row>
    <row r="132" spans="1:39" ht="12.75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</row>
    <row r="133" spans="1:39" ht="12.75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</row>
    <row r="134" spans="1:39" ht="12.75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</row>
    <row r="135" spans="1:39" ht="12.75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</row>
    <row r="136" spans="1:39" ht="12.75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</row>
    <row r="137" spans="1:39" ht="12.75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</row>
    <row r="138" spans="1:39" ht="12.75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</row>
    <row r="139" spans="1:39" ht="12.75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</row>
    <row r="140" spans="1:39" ht="12.75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</row>
    <row r="141" spans="1:39" ht="12.75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</row>
    <row r="142" spans="1:39" ht="12.75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</row>
    <row r="143" spans="1:39" ht="12.75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</row>
    <row r="144" spans="1:39" ht="12.75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</row>
    <row r="145" spans="1:39" ht="12.75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</row>
    <row r="146" spans="1:39" ht="12.75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</row>
    <row r="147" spans="1:39" ht="12.75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</row>
    <row r="148" spans="1:39" ht="12.75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</row>
    <row r="149" spans="1:39" ht="12.75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</row>
    <row r="150" spans="1:39" ht="12.75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</row>
    <row r="151" spans="1:39" ht="12.75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</row>
    <row r="152" spans="1:39" ht="12.75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</row>
    <row r="153" spans="1:39" ht="12.75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</row>
    <row r="154" spans="1:39" ht="12.75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</row>
    <row r="155" spans="1:39" ht="12.75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</row>
    <row r="156" spans="1:39" ht="12.75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</row>
    <row r="157" spans="1:39" ht="12.75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</row>
    <row r="158" spans="1:39" ht="12.75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</row>
    <row r="159" spans="1:39" ht="12.75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</row>
    <row r="160" spans="1:39" ht="12.75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</row>
    <row r="161" spans="1:39" ht="12.75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</row>
    <row r="162" spans="1:39" ht="12.75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</row>
    <row r="163" spans="1:39" ht="12.75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</row>
    <row r="164" spans="1:39" ht="12.75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</row>
    <row r="165" spans="1:39" ht="12.75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</row>
    <row r="166" spans="1:39" ht="12.75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</row>
    <row r="167" spans="1:39" ht="12.75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</row>
    <row r="168" spans="1:39" ht="12.75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</row>
    <row r="169" spans="1:39" ht="12.75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</row>
    <row r="170" spans="1:39" ht="12.75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</row>
    <row r="171" spans="1:39" ht="12.75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</row>
    <row r="172" spans="1:39" ht="12.75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</row>
    <row r="173" spans="1:39" ht="12.75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</row>
    <row r="174" spans="1:39" ht="12.75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</row>
    <row r="175" spans="1:39" ht="12.75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</row>
    <row r="176" spans="1:39" ht="12.75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</row>
    <row r="177" spans="1:39" ht="12.75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</row>
    <row r="178" spans="1:39" ht="12.75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</row>
    <row r="179" spans="1:39" ht="12.75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</row>
    <row r="180" spans="1:39" ht="12.75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</row>
    <row r="181" spans="1:39" ht="12.75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</row>
    <row r="182" spans="1:39" ht="12.75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</row>
    <row r="183" spans="1:39" ht="12.75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</row>
    <row r="184" spans="1:39" ht="12.75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</row>
    <row r="185" spans="1:39" ht="12.75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</row>
    <row r="186" spans="1:39" ht="12.75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</row>
    <row r="187" spans="1:39" ht="12.75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</row>
    <row r="188" spans="1:39" ht="12.75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</row>
    <row r="189" spans="1:39" ht="12.75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</row>
    <row r="190" spans="1:39" ht="12.75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</row>
    <row r="191" spans="1:39" ht="12.75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</row>
    <row r="192" spans="1:39" ht="12.75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</row>
    <row r="193" spans="1:39" ht="12.75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</row>
    <row r="194" spans="1:39" ht="12.75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</row>
    <row r="195" spans="1:39" ht="12.75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</row>
    <row r="196" spans="1:39" ht="12.75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</row>
    <row r="197" spans="1:39" ht="12.75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</row>
    <row r="198" spans="1:39" ht="12.75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</row>
    <row r="199" spans="1:39" ht="12.75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</row>
    <row r="200" spans="1:39" ht="12.75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</row>
    <row r="201" spans="1:39" ht="12.75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</row>
    <row r="202" spans="1:39" ht="12.75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</row>
    <row r="203" spans="1:39" ht="12.75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</row>
    <row r="204" spans="1:39" ht="12.75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</row>
    <row r="205" spans="1:39" ht="12.75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</row>
    <row r="206" spans="1:39" ht="12.75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</row>
    <row r="207" spans="1:39" ht="12.75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</row>
    <row r="208" spans="1:39" ht="12.75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</row>
    <row r="209" spans="1:39" ht="12.75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</row>
    <row r="210" spans="1:39" ht="12.75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</row>
    <row r="211" spans="1:39" ht="12.75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</row>
    <row r="212" spans="1:39" ht="12.75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</row>
    <row r="213" spans="1:39" ht="12.75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</row>
    <row r="214" spans="1:39" ht="12.75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</row>
    <row r="215" spans="1:39" ht="12.75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</row>
    <row r="216" spans="1:39" ht="12.75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</row>
    <row r="217" spans="1:39" ht="12.75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</row>
    <row r="218" spans="1:39" ht="12.75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</row>
    <row r="219" spans="1:39" ht="12.75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</row>
    <row r="220" spans="1:39" ht="12.75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</row>
    <row r="221" spans="1:39" ht="12.75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</row>
    <row r="222" spans="1:39" ht="12.75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</row>
    <row r="223" spans="1:39" ht="12.75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</row>
    <row r="224" spans="1:39" ht="12.75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</row>
    <row r="225" spans="1:39" ht="12.75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</row>
  </sheetData>
  <sheetProtection password="CA59" sheet="1" selectLockedCells="1"/>
  <mergeCells count="21">
    <mergeCell ref="I4:K4"/>
    <mergeCell ref="L4:M4"/>
    <mergeCell ref="I3:K3"/>
    <mergeCell ref="L3:M3"/>
    <mergeCell ref="J10:J11"/>
    <mergeCell ref="K11:M11"/>
    <mergeCell ref="J29:M29"/>
    <mergeCell ref="J27:M27"/>
    <mergeCell ref="K10:M10"/>
    <mergeCell ref="D2:G2"/>
    <mergeCell ref="J7:M8"/>
    <mergeCell ref="K9:M9"/>
    <mergeCell ref="I5:K5"/>
    <mergeCell ref="I6:K6"/>
    <mergeCell ref="B27:B28"/>
    <mergeCell ref="K12:M12"/>
    <mergeCell ref="E26:H26"/>
    <mergeCell ref="D28:H28"/>
    <mergeCell ref="E27:H27"/>
    <mergeCell ref="J26:M26"/>
    <mergeCell ref="J28:M28"/>
  </mergeCells>
  <conditionalFormatting sqref="H12 H16 H20:H24">
    <cfRule type="containsText" priority="5" dxfId="2" operator="containsText" stopIfTrue="1" text="non">
      <formula>NOT(ISERROR(SEARCH("non",H12)))</formula>
    </cfRule>
  </conditionalFormatting>
  <conditionalFormatting sqref="L3:M4">
    <cfRule type="expression" priority="1" dxfId="3" stopIfTrue="1">
      <formula>$I$4&lt;10</formula>
    </cfRule>
  </conditionalFormatting>
  <dataValidations count="8">
    <dataValidation type="list" allowBlank="1" showInputMessage="1" showErrorMessage="1" promptTitle="Mode de jeu" prompt="Sélectionner un mode de jeu" sqref="D5">
      <formula1>mode_de_jeu</formula1>
    </dataValidation>
    <dataValidation type="list" allowBlank="1" showInputMessage="1" showErrorMessage="1" promptTitle="Catégorie" prompt="Sélectionner une catégorie dans la liste proposée" sqref="E5">
      <formula1>categorie</formula1>
    </dataValidation>
    <dataValidation type="list" allowBlank="1" showInputMessage="1" showErrorMessage="1" sqref="F5">
      <formula1>tour</formula1>
    </dataValidation>
    <dataValidation type="list" allowBlank="1" showInputMessage="1" showErrorMessage="1" sqref="H12 H16 H20:H21 H24">
      <formula1>forfait</formula1>
    </dataValidation>
    <dataValidation errorStyle="warning" type="list" allowBlank="1" showInputMessage="1" showErrorMessage="1" promptTitle="Identité du joueur" prompt="Sélectionner dans la liste le joueur tête de série de la poule A" errorTitle="ALARME" error="Attention le nom du joueur saisi n'appartient pas à la liste proposée." sqref="D10:D12 D14:D16 D18:D24">
      <formula1>Joueur</formula1>
    </dataValidation>
    <dataValidation errorStyle="warning" type="list" allowBlank="1" showInputMessage="1" showErrorMessage="1" promptTitle="Directeur de jeu" prompt="Sélectionner le directeur de jeu dans la liste proposée, si ce dernier est licencié FFB. Sinon saisissez manuellement ses nom et prénom." errorTitle="ALARME" error="Attention le nom du joueur saisi n'appartient pas à la liste proposée." sqref="B5">
      <formula1>Joueur</formula1>
    </dataValidation>
    <dataValidation errorStyle="warning" type="list" allowBlank="1" showInputMessage="1" showErrorMessage="1" promptTitle="LIEU DE L'EPREUVE" prompt="Sélectionner dans la liste proposée le club où se déroule la compétition" errorTitle="ATTENTION" error="Cette saisie n'appartient pas à la liste proposée !" sqref="K9:M9">
      <formula1>lieux</formula1>
    </dataValidation>
    <dataValidation type="list" allowBlank="1" showInputMessage="1" showErrorMessage="1" promptTitle="BILLARD" prompt="Sélectionner le format du billard utilisé" errorTitle="ERREUR" error="Format non conforme" sqref="E7">
      <formula1>format_billard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Z29"/>
  <sheetViews>
    <sheetView showGridLines="0" showRowColHeaders="0" zoomScalePageLayoutView="0" workbookViewId="0" topLeftCell="A1">
      <selection activeCell="F16" sqref="F16"/>
    </sheetView>
  </sheetViews>
  <sheetFormatPr defaultColWidth="11.5" defaultRowHeight="12.75"/>
  <cols>
    <col min="1" max="1" width="8" style="87" customWidth="1"/>
    <col min="2" max="2" width="7.16015625" style="87" customWidth="1"/>
    <col min="3" max="3" width="32" style="87" customWidth="1"/>
    <col min="4" max="5" width="12.5" style="87" customWidth="1"/>
    <col min="6" max="6" width="12" style="87" customWidth="1"/>
    <col min="7" max="8" width="12.5" style="87" customWidth="1"/>
    <col min="9" max="9" width="11.5" style="87" customWidth="1"/>
    <col min="10" max="11" width="11.5" style="82" customWidth="1"/>
    <col min="12" max="13" width="4.83203125" style="82" customWidth="1"/>
    <col min="14" max="15" width="0" style="82" hidden="1" customWidth="1"/>
    <col min="16" max="16" width="4.16015625" style="87" hidden="1" customWidth="1"/>
    <col min="17" max="21" width="0" style="87" hidden="1" customWidth="1"/>
    <col min="22" max="16384" width="11.5" style="87" customWidth="1"/>
  </cols>
  <sheetData>
    <row r="1" spans="1:13" s="82" customFormat="1" ht="51.75" customHeight="1">
      <c r="A1" s="320" t="s">
        <v>153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2"/>
    </row>
    <row r="2" spans="1:26" ht="21.75" customHeight="1">
      <c r="A2" s="83"/>
      <c r="B2" s="82"/>
      <c r="C2" s="84"/>
      <c r="D2" s="176"/>
      <c r="E2" s="83"/>
      <c r="F2" s="84"/>
      <c r="G2" s="84"/>
      <c r="H2" s="84"/>
      <c r="I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s="89" customFormat="1" ht="39.75" customHeight="1">
      <c r="A3" s="98" t="s">
        <v>4</v>
      </c>
      <c r="B3" s="177" t="s">
        <v>127</v>
      </c>
      <c r="C3" s="98" t="s">
        <v>126</v>
      </c>
      <c r="D3" s="177" t="s">
        <v>7</v>
      </c>
      <c r="E3" s="177" t="s">
        <v>8</v>
      </c>
      <c r="F3" s="177" t="s">
        <v>9</v>
      </c>
      <c r="G3" s="177" t="s">
        <v>10</v>
      </c>
      <c r="H3" s="178" t="s">
        <v>11</v>
      </c>
      <c r="I3" s="179"/>
      <c r="J3" s="179"/>
      <c r="K3" s="179"/>
      <c r="L3" s="179"/>
      <c r="M3" s="179"/>
      <c r="N3" s="179"/>
      <c r="O3" s="179"/>
      <c r="Q3" s="179"/>
      <c r="R3" s="179"/>
      <c r="S3" s="179"/>
      <c r="T3" s="179"/>
      <c r="U3" s="179"/>
      <c r="V3" s="179"/>
      <c r="W3" s="179"/>
      <c r="X3" s="179"/>
      <c r="Y3" s="179"/>
      <c r="Z3" s="179"/>
    </row>
    <row r="4" spans="1:19" ht="19.5" customHeight="1">
      <c r="A4" s="341">
        <v>1</v>
      </c>
      <c r="B4" s="323" t="s">
        <v>114</v>
      </c>
      <c r="C4" s="180">
        <f>IF(Participants!D11&lt;&gt;"",Participants!D11,"")</f>
      </c>
      <c r="D4" s="103"/>
      <c r="E4" s="103"/>
      <c r="F4" s="103"/>
      <c r="G4" s="276"/>
      <c r="H4" s="92">
        <f aca="true" t="shared" si="0" ref="H4:H11">_xlfn.IFERROR(D4/E4,"")</f>
      </c>
      <c r="K4" s="179"/>
      <c r="O4" s="213"/>
      <c r="P4" s="214"/>
      <c r="Q4" s="214"/>
      <c r="R4" s="214"/>
      <c r="S4" s="214"/>
    </row>
    <row r="5" spans="1:19" ht="19.5" customHeight="1">
      <c r="A5" s="342"/>
      <c r="B5" s="324"/>
      <c r="C5" s="181">
        <f>IF(Q6=3,IF(Participants!D12&lt;&gt;"",Participants!D12,""),IF(Participants!D10&lt;&gt;"",Participants!D10,""))</f>
      </c>
      <c r="D5" s="104"/>
      <c r="E5" s="139">
        <f>IF(E4&lt;&gt;"",E4,"")</f>
      </c>
      <c r="F5" s="104"/>
      <c r="G5" s="139">
        <f>IF(G4&lt;&gt;"",2-G4,"")</f>
      </c>
      <c r="H5" s="94">
        <f t="shared" si="0"/>
      </c>
      <c r="O5" s="213"/>
      <c r="Q5" s="215" t="s">
        <v>161</v>
      </c>
      <c r="R5" s="337" t="s">
        <v>162</v>
      </c>
      <c r="S5" s="337"/>
    </row>
    <row r="6" spans="1:19" ht="19.5" customHeight="1">
      <c r="A6" s="342"/>
      <c r="B6" s="323" t="s">
        <v>115</v>
      </c>
      <c r="C6" s="180">
        <f>IF(Participants!D15&lt;&gt;"",Participants!D15,"")</f>
      </c>
      <c r="D6" s="103"/>
      <c r="E6" s="103"/>
      <c r="F6" s="103"/>
      <c r="G6" s="276"/>
      <c r="H6" s="92">
        <f t="shared" si="0"/>
      </c>
      <c r="O6" s="216" t="s">
        <v>163</v>
      </c>
      <c r="Q6" s="179">
        <f>IF(Participants!H12="",3,2)</f>
        <v>3</v>
      </c>
      <c r="R6" s="217">
        <f>IF(OR(H5&gt;H4,AND(H5=H4,F5&gt;F4)),C5,C4)</f>
      </c>
      <c r="S6" s="217"/>
    </row>
    <row r="7" spans="1:19" ht="19.5" customHeight="1">
      <c r="A7" s="342"/>
      <c r="B7" s="324"/>
      <c r="C7" s="181">
        <f>IF(Q8=3,IF(Participants!D16&lt;&gt;"",Participants!D16,""),IF(Participants!D14&lt;&gt;"",Participants!D14,""))</f>
      </c>
      <c r="D7" s="104"/>
      <c r="E7" s="139">
        <f>IF(E6&lt;&gt;"",E6,"")</f>
      </c>
      <c r="F7" s="104"/>
      <c r="G7" s="139">
        <f>IF(G6&lt;&gt;"",2-G6,"")</f>
      </c>
      <c r="H7" s="94">
        <f t="shared" si="0"/>
      </c>
      <c r="O7" s="216"/>
      <c r="Q7" s="179"/>
      <c r="R7" s="216"/>
      <c r="S7" s="216"/>
    </row>
    <row r="8" spans="1:19" ht="19.5" customHeight="1">
      <c r="A8" s="342"/>
      <c r="B8" s="323" t="s">
        <v>116</v>
      </c>
      <c r="C8" s="180">
        <f>IF(Participants!D19&lt;&gt;"",Participants!D19,"")</f>
      </c>
      <c r="D8" s="103"/>
      <c r="E8" s="103"/>
      <c r="F8" s="103"/>
      <c r="G8" s="276"/>
      <c r="H8" s="92">
        <f t="shared" si="0"/>
      </c>
      <c r="M8" s="176"/>
      <c r="O8" s="216" t="s">
        <v>164</v>
      </c>
      <c r="Q8" s="179">
        <f>IF(Participants!H16="",3,2)</f>
        <v>3</v>
      </c>
      <c r="R8" s="217">
        <f>IF(OR(H7&gt;H6,AND(H7=H6,F7&gt;F6)),C7,C6)</f>
      </c>
      <c r="S8" s="217"/>
    </row>
    <row r="9" spans="1:19" ht="19.5" customHeight="1">
      <c r="A9" s="342"/>
      <c r="B9" s="324"/>
      <c r="C9" s="181">
        <f>IF(Q10=3,IF(Participants!D20&lt;&gt;"",Participants!D20,""),IF(Participants!D18&lt;&gt;"",Participants!D18,""))</f>
      </c>
      <c r="D9" s="104"/>
      <c r="E9" s="139">
        <f>IF(E8&lt;&gt;"",E8,"")</f>
      </c>
      <c r="F9" s="104"/>
      <c r="G9" s="139">
        <f>IF(G8&lt;&gt;"",2-G8,"")</f>
      </c>
      <c r="H9" s="94">
        <f t="shared" si="0"/>
      </c>
      <c r="J9" s="87"/>
      <c r="K9" s="87"/>
      <c r="L9" s="87"/>
      <c r="O9" s="216"/>
      <c r="Q9" s="179"/>
      <c r="R9" s="216"/>
      <c r="S9" s="216"/>
    </row>
    <row r="10" spans="1:19" ht="19.5" customHeight="1">
      <c r="A10" s="342"/>
      <c r="B10" s="323" t="s">
        <v>152</v>
      </c>
      <c r="C10" s="180">
        <f>IF(Participants!D23&lt;&gt;"",Participants!D23,"")</f>
      </c>
      <c r="D10" s="103"/>
      <c r="E10" s="103"/>
      <c r="F10" s="103"/>
      <c r="G10" s="276"/>
      <c r="H10" s="92">
        <f t="shared" si="0"/>
      </c>
      <c r="J10" s="325" t="s">
        <v>134</v>
      </c>
      <c r="K10" s="326"/>
      <c r="L10" s="327"/>
      <c r="O10" s="216" t="s">
        <v>165</v>
      </c>
      <c r="Q10" s="179">
        <f>IF(Participants!H20="",3,2)</f>
        <v>3</v>
      </c>
      <c r="R10" s="217">
        <f>IF(OR(H9&gt;H8,AND(H9=H8,F9&gt;F8)),C9,C8)</f>
      </c>
      <c r="S10" s="217"/>
    </row>
    <row r="11" spans="1:19" ht="19.5" customHeight="1">
      <c r="A11" s="343"/>
      <c r="B11" s="324"/>
      <c r="C11" s="181">
        <f>IF(Q12=3,IF(Participants!D24&lt;&gt;"",Participants!D24,""),IF(Participants!D22&lt;&gt;"",Participants!D22,""))</f>
      </c>
      <c r="D11" s="104"/>
      <c r="E11" s="139">
        <f>IF(E10&lt;&gt;"",E10,"")</f>
      </c>
      <c r="F11" s="104"/>
      <c r="G11" s="139">
        <f>IF(G10&lt;&gt;"",2-G10,"")</f>
      </c>
      <c r="H11" s="94">
        <f t="shared" si="0"/>
      </c>
      <c r="J11" s="334">
        <f>IF(Participants!B7&lt;&gt;"",Participants!B7,"")</f>
      </c>
      <c r="K11" s="335"/>
      <c r="L11" s="336"/>
      <c r="O11" s="216"/>
      <c r="Q11" s="179"/>
      <c r="R11" s="216"/>
      <c r="S11" s="216"/>
    </row>
    <row r="12" spans="4:19" ht="19.5" customHeight="1">
      <c r="D12" s="105"/>
      <c r="E12" s="105"/>
      <c r="F12" s="105"/>
      <c r="G12" s="105"/>
      <c r="H12" s="206"/>
      <c r="J12" s="95"/>
      <c r="K12" s="96"/>
      <c r="L12" s="97"/>
      <c r="O12" s="216" t="s">
        <v>170</v>
      </c>
      <c r="Q12" s="179">
        <f>IF(Participants!H24="",3,2)</f>
        <v>3</v>
      </c>
      <c r="R12" s="217">
        <f>IF(OR(H11&gt;H10,AND(H11=H10,F11&gt;F10)),C11,C10)</f>
      </c>
      <c r="S12" s="216"/>
    </row>
    <row r="13" spans="1:19" ht="19.5" customHeight="1">
      <c r="A13" s="341">
        <v>2</v>
      </c>
      <c r="B13" s="323" t="s">
        <v>114</v>
      </c>
      <c r="C13" s="180">
        <f>IF(Q17=0,IF(Participants!D10&lt;&gt;"",Participants!D10,""),"")</f>
      </c>
      <c r="D13" s="103"/>
      <c r="E13" s="103"/>
      <c r="F13" s="103"/>
      <c r="G13" s="276"/>
      <c r="H13" s="92">
        <f aca="true" t="shared" si="1" ref="H13:H20">_xlfn.IFERROR(D13/E13,"")</f>
      </c>
      <c r="I13" s="82"/>
      <c r="J13" s="331" t="s">
        <v>2</v>
      </c>
      <c r="K13" s="332"/>
      <c r="L13" s="333"/>
      <c r="O13" s="213"/>
      <c r="P13" s="214"/>
      <c r="Q13" s="214"/>
      <c r="R13" s="216"/>
      <c r="S13" s="216"/>
    </row>
    <row r="14" spans="1:19" ht="19.5" customHeight="1">
      <c r="A14" s="342"/>
      <c r="B14" s="324"/>
      <c r="C14" s="181">
        <f>IF(AND(Q17=0,Q6=2),Participants!D11,IF(AND(Q17=0,Q6=3),IF(Participants!D11=R6,Participants!D12,Participants!D11),""))</f>
      </c>
      <c r="D14" s="104"/>
      <c r="E14" s="139">
        <f>IF(E13&lt;&gt;"",E13,"")</f>
      </c>
      <c r="F14" s="104"/>
      <c r="G14" s="139">
        <f>IF(G13&lt;&gt;"",2-G13,"")</f>
      </c>
      <c r="H14" s="94">
        <f t="shared" si="1"/>
      </c>
      <c r="I14" s="82"/>
      <c r="J14" s="338" t="str">
        <f>IF(Participants!E5&lt;&gt;"",Participants!E5," ")</f>
        <v> </v>
      </c>
      <c r="K14" s="339"/>
      <c r="L14" s="340"/>
      <c r="O14" s="179" t="s">
        <v>166</v>
      </c>
      <c r="Q14" s="179">
        <f>SUM(Q6:Q12)</f>
        <v>12</v>
      </c>
      <c r="R14" s="216"/>
      <c r="S14" s="216"/>
    </row>
    <row r="15" spans="1:12" ht="19.5" customHeight="1">
      <c r="A15" s="342"/>
      <c r="B15" s="323" t="s">
        <v>115</v>
      </c>
      <c r="C15" s="180">
        <f>IF(Q19=0,IF(Participants!D14&lt;&gt;"",Participants!D14,""),"")</f>
      </c>
      <c r="D15" s="103"/>
      <c r="E15" s="103"/>
      <c r="F15" s="103"/>
      <c r="G15" s="276"/>
      <c r="H15" s="92">
        <f t="shared" si="1"/>
      </c>
      <c r="I15" s="82"/>
      <c r="J15" s="95"/>
      <c r="K15" s="96"/>
      <c r="L15" s="97"/>
    </row>
    <row r="16" spans="1:17" ht="19.5" customHeight="1">
      <c r="A16" s="342"/>
      <c r="B16" s="324"/>
      <c r="C16" s="181">
        <f>IF(AND(Q19=0,Q8=2),Participants!D15,IF(AND(Q19=0,Q8=3),IF(Participants!D16=R8,Participants!D15,Participants!D16),""))</f>
      </c>
      <c r="D16" s="104"/>
      <c r="E16" s="139">
        <f>IF(E15&lt;&gt;"",E15,"")</f>
      </c>
      <c r="F16" s="104"/>
      <c r="G16" s="139">
        <f>IF(G15&lt;&gt;"",2-G15,"")</f>
      </c>
      <c r="H16" s="94">
        <f t="shared" si="1"/>
      </c>
      <c r="I16" s="82"/>
      <c r="J16" s="331" t="s">
        <v>3</v>
      </c>
      <c r="K16" s="332"/>
      <c r="L16" s="333"/>
      <c r="O16" s="179"/>
      <c r="P16" s="179"/>
      <c r="Q16" s="89"/>
    </row>
    <row r="17" spans="1:17" ht="19.5" customHeight="1">
      <c r="A17" s="342"/>
      <c r="B17" s="323" t="s">
        <v>116</v>
      </c>
      <c r="C17" s="180">
        <f>IF(Q21=0,IF(Participants!D18&lt;&gt;"",Participants!D18,""),"")</f>
      </c>
      <c r="D17" s="103"/>
      <c r="E17" s="103"/>
      <c r="F17" s="103"/>
      <c r="G17" s="276"/>
      <c r="H17" s="92">
        <f t="shared" si="1"/>
      </c>
      <c r="I17" s="82"/>
      <c r="J17" s="338" t="str">
        <f>IF(Participants!G5&lt;&gt;"",Participants!G5," ")</f>
        <v> </v>
      </c>
      <c r="K17" s="339"/>
      <c r="L17" s="340"/>
      <c r="O17" s="179" t="s">
        <v>167</v>
      </c>
      <c r="P17" s="179"/>
      <c r="Q17" s="89">
        <f>COUNTBLANK(D4:H5)</f>
        <v>10</v>
      </c>
    </row>
    <row r="18" spans="1:16" ht="19.5" customHeight="1">
      <c r="A18" s="342"/>
      <c r="B18" s="324"/>
      <c r="C18" s="181">
        <f>IF(AND(Q21=0,Q10=2),Participants!D19,IF(AND(Q21=0,Q10=3),IF(Participants!D20=R10,Participants!D19,Participants!D20),""))</f>
      </c>
      <c r="D18" s="104"/>
      <c r="E18" s="139">
        <f>IF(E17&lt;&gt;"",E17,"")</f>
      </c>
      <c r="F18" s="104"/>
      <c r="G18" s="139">
        <f>IF(G17&lt;&gt;"",2-G17,"")</f>
      </c>
      <c r="H18" s="94">
        <f t="shared" si="1"/>
      </c>
      <c r="I18" s="82"/>
      <c r="J18" s="95"/>
      <c r="K18" s="96"/>
      <c r="L18" s="97"/>
      <c r="P18" s="82"/>
    </row>
    <row r="19" spans="1:17" ht="19.5" customHeight="1">
      <c r="A19" s="342"/>
      <c r="B19" s="323" t="s">
        <v>152</v>
      </c>
      <c r="C19" s="180">
        <f>IF(Q23=0,IF(Participants!D22&lt;&gt;"",Participants!D22,""),"")</f>
      </c>
      <c r="D19" s="103"/>
      <c r="E19" s="103"/>
      <c r="F19" s="103"/>
      <c r="G19" s="276"/>
      <c r="H19" s="92">
        <f t="shared" si="1"/>
      </c>
      <c r="I19" s="82"/>
      <c r="J19" s="331" t="s">
        <v>1</v>
      </c>
      <c r="K19" s="332"/>
      <c r="L19" s="333"/>
      <c r="O19" s="179" t="s">
        <v>168</v>
      </c>
      <c r="P19" s="179"/>
      <c r="Q19" s="89">
        <f>COUNTBLANK(D6:H7)</f>
        <v>10</v>
      </c>
    </row>
    <row r="20" spans="1:16" ht="19.5" customHeight="1">
      <c r="A20" s="343"/>
      <c r="B20" s="324"/>
      <c r="C20" s="181">
        <f>IF(AND(Q23=0,Q12=2),Participants!D23,IF(AND(Q23=0,Q12=3),IF(Participants!D24=R12,Participants!D23,Participants!D24),""))</f>
      </c>
      <c r="D20" s="104"/>
      <c r="E20" s="139">
        <f>IF(E19&lt;&gt;"",E19,"")</f>
      </c>
      <c r="F20" s="104"/>
      <c r="G20" s="139">
        <f>IF(G19&lt;&gt;"",2-G19,"")</f>
      </c>
      <c r="H20" s="94">
        <f t="shared" si="1"/>
      </c>
      <c r="I20" s="82"/>
      <c r="J20" s="328" t="str">
        <f>IF(Participants!D5&lt;&gt;"",Participants!D5," ")</f>
        <v> </v>
      </c>
      <c r="K20" s="329"/>
      <c r="L20" s="330"/>
      <c r="P20" s="82"/>
    </row>
    <row r="21" spans="4:17" ht="19.5" customHeight="1">
      <c r="D21" s="105"/>
      <c r="E21" s="105"/>
      <c r="F21" s="106"/>
      <c r="G21" s="106"/>
      <c r="H21" s="206">
        <f>IF(E21&gt;0,D21/E21,"")</f>
      </c>
      <c r="I21" s="82"/>
      <c r="J21" s="87"/>
      <c r="K21" s="87"/>
      <c r="L21" s="87"/>
      <c r="O21" s="179" t="s">
        <v>169</v>
      </c>
      <c r="P21" s="179"/>
      <c r="Q21" s="89">
        <f>COUNTBLANK(D8:H9)</f>
        <v>10</v>
      </c>
    </row>
    <row r="22" spans="1:12" ht="19.5" customHeight="1">
      <c r="A22" s="341">
        <v>3</v>
      </c>
      <c r="B22" s="323" t="s">
        <v>114</v>
      </c>
      <c r="C22" s="180">
        <f>IF(AND(Q17=0,Q6=3),Participants!D10,"")</f>
      </c>
      <c r="D22" s="103"/>
      <c r="E22" s="103"/>
      <c r="F22" s="103"/>
      <c r="G22" s="276"/>
      <c r="H22" s="92">
        <f aca="true" t="shared" si="2" ref="H22:H29">_xlfn.IFERROR(D22/E22,"")</f>
      </c>
      <c r="I22" s="82"/>
      <c r="J22" s="87"/>
      <c r="K22" s="87"/>
      <c r="L22" s="87"/>
    </row>
    <row r="23" spans="1:17" ht="19.5" customHeight="1">
      <c r="A23" s="342"/>
      <c r="B23" s="324"/>
      <c r="C23" s="181">
        <f>IF(Q17=0,IF(Q6=3,R6,""),"")</f>
      </c>
      <c r="D23" s="104"/>
      <c r="E23" s="139">
        <f>IF(E22&lt;&gt;"",E22,"")</f>
      </c>
      <c r="F23" s="104"/>
      <c r="G23" s="139">
        <f>IF(G22&lt;&gt;"",2-G22,"")</f>
      </c>
      <c r="H23" s="94">
        <f t="shared" si="2"/>
      </c>
      <c r="I23" s="82"/>
      <c r="O23" s="179" t="s">
        <v>171</v>
      </c>
      <c r="P23" s="179"/>
      <c r="Q23" s="89">
        <f>COUNTBLANK(D10:H11)</f>
        <v>10</v>
      </c>
    </row>
    <row r="24" spans="1:8" ht="19.5" customHeight="1">
      <c r="A24" s="342"/>
      <c r="B24" s="323" t="s">
        <v>115</v>
      </c>
      <c r="C24" s="180">
        <f>IF(AND(Q19=0,Q8=3),Participants!D14,"")</f>
      </c>
      <c r="D24" s="103"/>
      <c r="E24" s="103"/>
      <c r="F24" s="103"/>
      <c r="G24" s="276"/>
      <c r="H24" s="92">
        <f t="shared" si="2"/>
      </c>
    </row>
    <row r="25" spans="1:12" ht="19.5" customHeight="1">
      <c r="A25" s="342"/>
      <c r="B25" s="324"/>
      <c r="C25" s="181">
        <f>IF(Q19=0,IF(Q8=3,R8,""),"")</f>
      </c>
      <c r="D25" s="104"/>
      <c r="E25" s="139">
        <f>IF(E24&lt;&gt;"",E24,"")</f>
      </c>
      <c r="F25" s="104"/>
      <c r="G25" s="139">
        <f>IF(G24&lt;&gt;"",2-G24,"")</f>
      </c>
      <c r="H25" s="94">
        <f t="shared" si="2"/>
      </c>
      <c r="J25" s="344" t="s">
        <v>10</v>
      </c>
      <c r="K25" s="345"/>
      <c r="L25" s="346"/>
    </row>
    <row r="26" spans="1:12" ht="19.5" customHeight="1">
      <c r="A26" s="342"/>
      <c r="B26" s="323" t="s">
        <v>116</v>
      </c>
      <c r="C26" s="180">
        <f>IF(AND(Q21=0,Q10=3),Participants!D18,"")</f>
      </c>
      <c r="D26" s="103"/>
      <c r="E26" s="103"/>
      <c r="F26" s="103"/>
      <c r="G26" s="276"/>
      <c r="H26" s="92">
        <f t="shared" si="2"/>
      </c>
      <c r="J26" s="244" t="s">
        <v>197</v>
      </c>
      <c r="K26" s="245" t="s">
        <v>199</v>
      </c>
      <c r="L26" s="246"/>
    </row>
    <row r="27" spans="1:12" ht="19.5" customHeight="1">
      <c r="A27" s="342"/>
      <c r="B27" s="324"/>
      <c r="C27" s="181">
        <f>IF(Q21=0,IF(Q10=3,R10,""),"")</f>
      </c>
      <c r="D27" s="104"/>
      <c r="E27" s="139">
        <f>IF(E26&lt;&gt;"",E26,"")</f>
      </c>
      <c r="F27" s="104"/>
      <c r="G27" s="139">
        <f>IF(G26&lt;&gt;"",2-G26,"")</f>
      </c>
      <c r="H27" s="94">
        <f t="shared" si="2"/>
      </c>
      <c r="J27" s="247" t="s">
        <v>198</v>
      </c>
      <c r="K27" s="248" t="s">
        <v>201</v>
      </c>
      <c r="L27" s="249"/>
    </row>
    <row r="28" spans="1:12" ht="19.5" customHeight="1">
      <c r="A28" s="342"/>
      <c r="B28" s="323" t="s">
        <v>152</v>
      </c>
      <c r="C28" s="180">
        <f>IF(AND(Q23=0,Q12=3),Participants!D22,"")</f>
      </c>
      <c r="D28" s="103"/>
      <c r="E28" s="103"/>
      <c r="F28" s="103"/>
      <c r="G28" s="276"/>
      <c r="H28" s="92">
        <f t="shared" si="2"/>
      </c>
      <c r="J28" s="250" t="s">
        <v>200</v>
      </c>
      <c r="K28" s="251" t="s">
        <v>227</v>
      </c>
      <c r="L28" s="252"/>
    </row>
    <row r="29" spans="1:8" ht="19.5" customHeight="1">
      <c r="A29" s="343"/>
      <c r="B29" s="324"/>
      <c r="C29" s="181">
        <f>IF(Q23=0,IF(Q12=3,R12,""),"")</f>
      </c>
      <c r="D29" s="104"/>
      <c r="E29" s="139">
        <f>IF(E28&lt;&gt;"",E28,"")</f>
      </c>
      <c r="F29" s="104"/>
      <c r="G29" s="139">
        <f>IF(G28&lt;&gt;"",2-G28,"")</f>
      </c>
      <c r="H29" s="94">
        <f t="shared" si="2"/>
      </c>
    </row>
    <row r="30" ht="19.5" customHeight="1"/>
  </sheetData>
  <sheetProtection password="CA59" sheet="1" selectLockedCells="1"/>
  <mergeCells count="26">
    <mergeCell ref="A22:A29"/>
    <mergeCell ref="B28:B29"/>
    <mergeCell ref="B8:B9"/>
    <mergeCell ref="J17:L17"/>
    <mergeCell ref="B17:B18"/>
    <mergeCell ref="B10:B11"/>
    <mergeCell ref="A4:A11"/>
    <mergeCell ref="A13:A20"/>
    <mergeCell ref="B19:B20"/>
    <mergeCell ref="J25:L25"/>
    <mergeCell ref="B13:B14"/>
    <mergeCell ref="J13:L13"/>
    <mergeCell ref="J11:L11"/>
    <mergeCell ref="R5:S5"/>
    <mergeCell ref="J14:L14"/>
    <mergeCell ref="B6:B7"/>
    <mergeCell ref="A1:M1"/>
    <mergeCell ref="B22:B23"/>
    <mergeCell ref="B24:B25"/>
    <mergeCell ref="B26:B27"/>
    <mergeCell ref="J10:L10"/>
    <mergeCell ref="J20:L20"/>
    <mergeCell ref="B4:B5"/>
    <mergeCell ref="J16:L16"/>
    <mergeCell ref="B15:B16"/>
    <mergeCell ref="J19:L19"/>
  </mergeCells>
  <dataValidations count="1">
    <dataValidation type="list" allowBlank="1" showInputMessage="1" showErrorMessage="1" promptTitle="Points de match" errorTitle="ATTENTION" error="Erreur de saisie !" sqref="G13 G15 G4 G17 G19 G6 G8 G10 G22 G24 G26 G28">
      <formula1>pt_qualif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ignoredErrors>
    <ignoredError sqref="E5 E7 E9 E14 E16 E18 E23 E25 E27" unlockedFormula="1"/>
    <ignoredError sqref="H2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BG102"/>
  <sheetViews>
    <sheetView showGridLines="0" showRowColHeaders="0" zoomScale="110" zoomScaleNormal="110" zoomScalePageLayoutView="0" workbookViewId="0" topLeftCell="A1">
      <selection activeCell="K24" sqref="K24"/>
    </sheetView>
  </sheetViews>
  <sheetFormatPr defaultColWidth="11.5" defaultRowHeight="12.75"/>
  <cols>
    <col min="1" max="1" width="3.83203125" style="4" customWidth="1"/>
    <col min="2" max="2" width="3.83203125" style="81" customWidth="1"/>
    <col min="3" max="3" width="28.66015625" style="4" customWidth="1"/>
    <col min="4" max="6" width="9.33203125" style="4" customWidth="1"/>
    <col min="7" max="7" width="10" style="4" customWidth="1"/>
    <col min="8" max="9" width="9.33203125" style="4" customWidth="1"/>
    <col min="10" max="10" width="0.82421875" style="4" customWidth="1"/>
    <col min="11" max="11" width="9.33203125" style="4" customWidth="1"/>
    <col min="12" max="13" width="7" style="4" customWidth="1"/>
    <col min="14" max="14" width="32" style="4" customWidth="1"/>
    <col min="15" max="15" width="11.5" style="4" customWidth="1"/>
    <col min="16" max="16" width="10.66015625" style="4" customWidth="1"/>
    <col min="17" max="19" width="3.66015625" style="4" customWidth="1"/>
    <col min="20" max="20" width="2.66015625" style="4" customWidth="1"/>
    <col min="21" max="23" width="3.66015625" style="4" customWidth="1"/>
    <col min="24" max="24" width="2.66015625" style="4" customWidth="1"/>
    <col min="25" max="25" width="41.33203125" style="4" customWidth="1"/>
    <col min="26" max="26" width="11.5" style="4" customWidth="1"/>
    <col min="27" max="27" width="12.83203125" style="4" customWidth="1"/>
    <col min="28" max="16384" width="11.5" style="4" customWidth="1"/>
  </cols>
  <sheetData>
    <row r="1" spans="1:59" ht="24.75" customHeight="1" thickBot="1">
      <c r="A1" s="359" t="s">
        <v>306</v>
      </c>
      <c r="B1" s="359"/>
      <c r="C1" s="359"/>
      <c r="D1" s="359"/>
      <c r="E1" s="359"/>
      <c r="F1" s="359"/>
      <c r="G1" s="359"/>
      <c r="H1" s="3"/>
      <c r="I1" s="3"/>
      <c r="J1" s="3"/>
      <c r="K1" s="3"/>
      <c r="L1" s="353" t="s">
        <v>75</v>
      </c>
      <c r="M1" s="353"/>
      <c r="N1" s="15">
        <f>IF(Participants!B7&lt;&gt;"",Participants!B7,"")</f>
      </c>
      <c r="O1" s="14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18.75" customHeight="1" thickTop="1">
      <c r="A2" s="3"/>
      <c r="B2" s="141"/>
      <c r="C2" s="3"/>
      <c r="D2" s="3"/>
      <c r="E2" s="3"/>
      <c r="F2" s="347" t="s">
        <v>135</v>
      </c>
      <c r="G2" s="348"/>
      <c r="H2" s="348"/>
      <c r="I2" s="348"/>
      <c r="J2" s="142"/>
      <c r="K2" s="143"/>
      <c r="L2" s="354" t="s">
        <v>19</v>
      </c>
      <c r="M2" s="355"/>
      <c r="N2" s="15">
        <f>IF(Participants!D5&lt;&gt;"",Participants!D5,"")</f>
      </c>
      <c r="O2" s="140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8.75" customHeight="1" thickBot="1">
      <c r="A3" s="3"/>
      <c r="B3" s="141"/>
      <c r="C3" s="3"/>
      <c r="D3" s="3"/>
      <c r="E3" s="3"/>
      <c r="F3" s="349"/>
      <c r="G3" s="350"/>
      <c r="H3" s="350"/>
      <c r="I3" s="350"/>
      <c r="J3" s="144"/>
      <c r="K3" s="143"/>
      <c r="L3" s="356" t="s">
        <v>20</v>
      </c>
      <c r="M3" s="353"/>
      <c r="N3" s="15">
        <f>IF(Participants!E5&lt;&gt;"",Participants!E5,"")</f>
      </c>
      <c r="O3" s="140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8" customHeight="1" thickTop="1">
      <c r="A4" s="3"/>
      <c r="B4" s="145"/>
      <c r="C4" s="360" t="s">
        <v>35</v>
      </c>
      <c r="D4" s="360"/>
      <c r="E4" s="360"/>
      <c r="F4" s="360"/>
      <c r="G4" s="360"/>
      <c r="H4" s="360"/>
      <c r="I4" s="360"/>
      <c r="J4" s="360"/>
      <c r="K4" s="360"/>
      <c r="L4" s="353" t="s">
        <v>21</v>
      </c>
      <c r="M4" s="353"/>
      <c r="N4" s="15">
        <f>IF(Participants!G5&lt;&gt;"",Participants!G5,"")</f>
      </c>
      <c r="O4" s="140"/>
      <c r="P4" s="140"/>
      <c r="Q4" s="140"/>
      <c r="R4" s="140"/>
      <c r="S4" s="140"/>
      <c r="T4" s="140"/>
      <c r="U4" s="140"/>
      <c r="V4" s="140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26.25" customHeight="1">
      <c r="A5" s="3"/>
      <c r="B5" s="221"/>
      <c r="C5" s="147" t="s">
        <v>16</v>
      </c>
      <c r="D5" s="148" t="s">
        <v>12</v>
      </c>
      <c r="E5" s="149" t="s">
        <v>15</v>
      </c>
      <c r="F5" s="149" t="s">
        <v>13</v>
      </c>
      <c r="G5" s="150" t="s">
        <v>34</v>
      </c>
      <c r="H5" s="149" t="s">
        <v>33</v>
      </c>
      <c r="I5" s="151" t="s">
        <v>14</v>
      </c>
      <c r="J5" s="152"/>
      <c r="K5" s="153" t="s">
        <v>78</v>
      </c>
      <c r="L5" s="357" t="s">
        <v>79</v>
      </c>
      <c r="M5" s="358"/>
      <c r="N5" s="358"/>
      <c r="O5" s="16"/>
      <c r="P5" s="140"/>
      <c r="Q5" s="140"/>
      <c r="R5" s="140"/>
      <c r="S5" s="140"/>
      <c r="T5" s="140"/>
      <c r="U5" s="140"/>
      <c r="V5" s="140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14.25" customHeight="1">
      <c r="A6" s="3"/>
      <c r="B6" s="225">
        <f>K6</f>
        <v>0</v>
      </c>
      <c r="C6" s="155">
        <f>IF(Participants!D10="","",Participants!D10)</f>
      </c>
      <c r="D6" s="156">
        <f>SUM('Feuille de match'!B14:B16)</f>
        <v>0</v>
      </c>
      <c r="E6" s="156">
        <f>SUM('Feuille de match'!C14:C16)</f>
        <v>0</v>
      </c>
      <c r="F6" s="156">
        <f>MAX('Feuille de match'!D14:D16)</f>
        <v>0</v>
      </c>
      <c r="G6" s="157">
        <f>MAX('Feuille de match'!O13:Q13)</f>
        <v>0</v>
      </c>
      <c r="H6" s="157">
        <f>IF(E6&gt;0,D6/E6,0)</f>
        <v>0</v>
      </c>
      <c r="I6" s="156">
        <f>SUM('Feuille de match'!F14:F16)</f>
        <v>0</v>
      </c>
      <c r="J6" s="158"/>
      <c r="K6" s="14"/>
      <c r="L6" s="351" t="s">
        <v>80</v>
      </c>
      <c r="M6" s="352"/>
      <c r="N6" s="16">
        <f>_xlfn.IFERROR(VLOOKUP(1,$B$6:$C$8,2,FALSE),"")</f>
      </c>
      <c r="O6" s="16"/>
      <c r="P6" s="140"/>
      <c r="Q6" s="145"/>
      <c r="R6" s="145"/>
      <c r="S6" s="145"/>
      <c r="T6" s="145"/>
      <c r="U6" s="145"/>
      <c r="V6" s="145"/>
      <c r="W6" s="145"/>
      <c r="X6" s="145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ht="14.25" customHeight="1">
      <c r="A7" s="3"/>
      <c r="B7" s="225">
        <f>K7</f>
        <v>0</v>
      </c>
      <c r="C7" s="155">
        <f>IF(Participants!D11="","",Participants!D11)</f>
      </c>
      <c r="D7" s="156">
        <f>SUM('Feuille de match'!B30:B32)</f>
        <v>0</v>
      </c>
      <c r="E7" s="156">
        <f>SUM('Feuille de match'!C30:C32)</f>
        <v>0</v>
      </c>
      <c r="F7" s="156">
        <f>MAX('Feuille de match'!D30:D32)</f>
        <v>0</v>
      </c>
      <c r="G7" s="157">
        <f>MAX('Feuille de match'!O29:Q29)</f>
        <v>0</v>
      </c>
      <c r="H7" s="157">
        <f>IF(E7&gt;0,D7/E7,0)</f>
        <v>0</v>
      </c>
      <c r="I7" s="156">
        <f>SUM('Feuille de match'!F30:F32)</f>
        <v>0</v>
      </c>
      <c r="J7" s="158"/>
      <c r="K7" s="14"/>
      <c r="L7" s="351" t="s">
        <v>81</v>
      </c>
      <c r="M7" s="352"/>
      <c r="N7" s="16">
        <f>_xlfn.IFERROR(VLOOKUP(2,$B$6:$C$8,2,FALSE),"")</f>
      </c>
      <c r="O7" s="16"/>
      <c r="P7" s="140"/>
      <c r="Q7" s="145"/>
      <c r="R7" s="145"/>
      <c r="S7" s="145"/>
      <c r="T7" s="145"/>
      <c r="U7" s="145"/>
      <c r="V7" s="145"/>
      <c r="W7" s="145"/>
      <c r="X7" s="145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14.25" customHeight="1">
      <c r="A8" s="3"/>
      <c r="B8" s="225">
        <f>K8</f>
        <v>0</v>
      </c>
      <c r="C8" s="155">
        <f>IF(Participants!H12&lt;&gt;"","",IF(Participants!D12="","",Participants!D12))</f>
      </c>
      <c r="D8" s="156">
        <f>SUM('Feuille de match'!B46:B48)</f>
        <v>0</v>
      </c>
      <c r="E8" s="156">
        <f>SUM('Feuille de match'!C46:C48)</f>
        <v>0</v>
      </c>
      <c r="F8" s="156">
        <f>MAX('Feuille de match'!D46:D48)</f>
        <v>0</v>
      </c>
      <c r="G8" s="157">
        <f>MAX('Feuille de match'!O45:Q45)</f>
        <v>0</v>
      </c>
      <c r="H8" s="157">
        <f>IF(E8&gt;0,D8/E8,0)</f>
        <v>0</v>
      </c>
      <c r="I8" s="156">
        <f>SUM('Feuille de match'!F46:F48)</f>
        <v>0</v>
      </c>
      <c r="J8" s="158"/>
      <c r="K8" s="14"/>
      <c r="L8" s="351" t="s">
        <v>82</v>
      </c>
      <c r="M8" s="352"/>
      <c r="N8" s="16">
        <f>_xlfn.IFERROR(VLOOKUP(3,$B$6:$C$8,2,FALSE),"")</f>
      </c>
      <c r="O8" s="16"/>
      <c r="P8" s="140"/>
      <c r="Q8" s="145"/>
      <c r="R8" s="145"/>
      <c r="S8" s="145"/>
      <c r="T8" s="145"/>
      <c r="U8" s="145"/>
      <c r="V8" s="145"/>
      <c r="W8" s="145"/>
      <c r="X8" s="145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9" customHeight="1">
      <c r="A9" s="3"/>
      <c r="B9" s="225"/>
      <c r="C9" s="159"/>
      <c r="D9" s="159"/>
      <c r="E9" s="159"/>
      <c r="F9" s="159"/>
      <c r="G9" s="160"/>
      <c r="H9" s="159"/>
      <c r="I9" s="159"/>
      <c r="J9" s="158"/>
      <c r="K9" s="146"/>
      <c r="L9" s="16"/>
      <c r="M9" s="16"/>
      <c r="N9" s="16"/>
      <c r="O9" s="16"/>
      <c r="P9" s="140"/>
      <c r="Q9" s="145"/>
      <c r="R9" s="145"/>
      <c r="S9" s="145"/>
      <c r="T9" s="145"/>
      <c r="U9" s="145"/>
      <c r="V9" s="145"/>
      <c r="W9" s="141"/>
      <c r="X9" s="14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14.25" customHeight="1">
      <c r="A10" s="3"/>
      <c r="B10" s="225">
        <f>K10</f>
        <v>0</v>
      </c>
      <c r="C10" s="161">
        <f>IF(Participants!D14="","",Participants!D14)</f>
      </c>
      <c r="D10" s="162">
        <f>SUM('Feuille de match'!I14:I16)</f>
        <v>0</v>
      </c>
      <c r="E10" s="162">
        <f>SUM('Feuille de match'!J14:J16)</f>
        <v>0</v>
      </c>
      <c r="F10" s="162">
        <f>MAX('Feuille de match'!K14:K16)</f>
        <v>0</v>
      </c>
      <c r="G10" s="163">
        <f>MAX('Feuille de match'!U13:W13)</f>
        <v>0</v>
      </c>
      <c r="H10" s="163">
        <f>IF(E10&gt;0,D10/E10,)</f>
        <v>0</v>
      </c>
      <c r="I10" s="162">
        <f>SUM('Feuille de match'!M14:M16)</f>
        <v>0</v>
      </c>
      <c r="J10" s="158"/>
      <c r="K10" s="14"/>
      <c r="L10" s="351" t="s">
        <v>80</v>
      </c>
      <c r="M10" s="352"/>
      <c r="N10" s="16">
        <f>_xlfn.IFERROR(VLOOKUP(1,$B$10:$C$12,2,FALSE),"")</f>
      </c>
      <c r="O10" s="16"/>
      <c r="P10" s="140"/>
      <c r="Q10" s="145"/>
      <c r="R10" s="145"/>
      <c r="S10" s="145"/>
      <c r="T10" s="145"/>
      <c r="U10" s="145"/>
      <c r="V10" s="145"/>
      <c r="W10" s="145"/>
      <c r="X10" s="145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14.25" customHeight="1">
      <c r="A11" s="3"/>
      <c r="B11" s="225">
        <f>K11</f>
        <v>0</v>
      </c>
      <c r="C11" s="161">
        <f>IF(Participants!D15="","",Participants!D15)</f>
      </c>
      <c r="D11" s="162">
        <f>SUM('Feuille de match'!I30:I32)</f>
        <v>0</v>
      </c>
      <c r="E11" s="162">
        <f>SUM('Feuille de match'!J30:J32)</f>
        <v>0</v>
      </c>
      <c r="F11" s="162">
        <f>MAX('Feuille de match'!K30:K32)</f>
        <v>0</v>
      </c>
      <c r="G11" s="163">
        <f>MAX('Feuille de match'!U29:W29)</f>
        <v>0</v>
      </c>
      <c r="H11" s="163">
        <f>IF(E11&gt;0,D11/E11,0)</f>
        <v>0</v>
      </c>
      <c r="I11" s="162">
        <f>SUM('Feuille de match'!M30:M32)</f>
        <v>0</v>
      </c>
      <c r="J11" s="158"/>
      <c r="K11" s="14"/>
      <c r="L11" s="351" t="s">
        <v>81</v>
      </c>
      <c r="M11" s="352"/>
      <c r="N11" s="16">
        <f>_xlfn.IFERROR(VLOOKUP(2,$B$10:$C$12,2,FALSE),"")</f>
      </c>
      <c r="O11" s="16"/>
      <c r="P11" s="140"/>
      <c r="Q11" s="145"/>
      <c r="R11" s="145"/>
      <c r="S11" s="145"/>
      <c r="T11" s="145"/>
      <c r="U11" s="145"/>
      <c r="V11" s="145"/>
      <c r="W11" s="145"/>
      <c r="X11" s="145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14.25" customHeight="1">
      <c r="A12" s="3"/>
      <c r="B12" s="225">
        <f>K12</f>
        <v>0</v>
      </c>
      <c r="C12" s="161">
        <f>IF(Participants!H16&lt;&gt;"","",IF(Participants!D16="","",Participants!D16))</f>
      </c>
      <c r="D12" s="162">
        <f>SUM('Feuille de match'!I46:I48)</f>
        <v>0</v>
      </c>
      <c r="E12" s="162">
        <f>SUM('Feuille de match'!J46:J48)</f>
        <v>0</v>
      </c>
      <c r="F12" s="162">
        <f>MAX('Feuille de match'!K46:K48)</f>
        <v>0</v>
      </c>
      <c r="G12" s="163">
        <f>MAX('Feuille de match'!U45:W45)</f>
        <v>0</v>
      </c>
      <c r="H12" s="163">
        <f>IF(E12&gt;0,D12/E12,0)</f>
        <v>0</v>
      </c>
      <c r="I12" s="162">
        <f>SUM('Feuille de match'!M46:M48)</f>
        <v>0</v>
      </c>
      <c r="J12" s="158"/>
      <c r="K12" s="14"/>
      <c r="L12" s="351" t="s">
        <v>82</v>
      </c>
      <c r="M12" s="352"/>
      <c r="N12" s="16">
        <f>_xlfn.IFERROR(VLOOKUP(3,$B$10:$C$12,2,FALSE),"")</f>
      </c>
      <c r="O12" s="16"/>
      <c r="P12" s="140"/>
      <c r="Q12" s="145"/>
      <c r="R12" s="145"/>
      <c r="S12" s="145"/>
      <c r="T12" s="145"/>
      <c r="U12" s="145"/>
      <c r="V12" s="145"/>
      <c r="W12" s="145"/>
      <c r="X12" s="145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9" customHeight="1">
      <c r="A13" s="3"/>
      <c r="B13" s="225"/>
      <c r="C13" s="159"/>
      <c r="D13" s="159"/>
      <c r="E13" s="159"/>
      <c r="F13" s="159"/>
      <c r="G13" s="160"/>
      <c r="H13" s="159"/>
      <c r="I13" s="159"/>
      <c r="J13" s="158"/>
      <c r="K13" s="146"/>
      <c r="L13" s="16"/>
      <c r="M13" s="16"/>
      <c r="N13" s="16"/>
      <c r="O13" s="16"/>
      <c r="P13" s="140"/>
      <c r="Q13" s="145"/>
      <c r="R13" s="145"/>
      <c r="S13" s="145"/>
      <c r="T13" s="145"/>
      <c r="U13" s="145"/>
      <c r="V13" s="145"/>
      <c r="W13" s="141"/>
      <c r="X13" s="141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ht="14.25" customHeight="1">
      <c r="A14" s="3"/>
      <c r="B14" s="225">
        <f>K14</f>
        <v>0</v>
      </c>
      <c r="C14" s="164">
        <f>IF(Participants!D18="","",Participants!D18)</f>
      </c>
      <c r="D14" s="165">
        <f>SUM('Feuille de match'!B67:B69)</f>
        <v>0</v>
      </c>
      <c r="E14" s="165">
        <f>SUM('Feuille de match'!C67:C69)</f>
        <v>0</v>
      </c>
      <c r="F14" s="165">
        <f>MAX('Feuille de match'!D67:D69)</f>
        <v>0</v>
      </c>
      <c r="G14" s="166">
        <f>MAX('Feuille de match'!O66:Q66)</f>
        <v>0</v>
      </c>
      <c r="H14" s="166">
        <f>IF(E14&gt;0,D14/E14,0)</f>
        <v>0</v>
      </c>
      <c r="I14" s="165">
        <f>SUM('Feuille de match'!F67:F69)</f>
        <v>0</v>
      </c>
      <c r="J14" s="158"/>
      <c r="K14" s="14"/>
      <c r="L14" s="351" t="s">
        <v>80</v>
      </c>
      <c r="M14" s="352"/>
      <c r="N14" s="16">
        <f>_xlfn.IFERROR(VLOOKUP(1,$B$14:$C$16,2,FALSE),"")</f>
      </c>
      <c r="O14" s="16"/>
      <c r="P14" s="140"/>
      <c r="Q14" s="145"/>
      <c r="R14" s="145"/>
      <c r="S14" s="145"/>
      <c r="T14" s="145"/>
      <c r="U14" s="145"/>
      <c r="V14" s="145"/>
      <c r="W14" s="145"/>
      <c r="X14" s="145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ht="14.25" customHeight="1">
      <c r="A15" s="3"/>
      <c r="B15" s="225">
        <f>K15</f>
        <v>0</v>
      </c>
      <c r="C15" s="164">
        <f>IF(Participants!D19="","",Participants!D19)</f>
      </c>
      <c r="D15" s="165">
        <f>SUM('Feuille de match'!B83:B85)</f>
        <v>0</v>
      </c>
      <c r="E15" s="165">
        <f>SUM('Feuille de match'!C83:C85)</f>
        <v>0</v>
      </c>
      <c r="F15" s="165">
        <f>MAX('Feuille de match'!D83:D85)</f>
        <v>0</v>
      </c>
      <c r="G15" s="166">
        <f>MAX('Feuille de match'!O82:Q82)</f>
        <v>0</v>
      </c>
      <c r="H15" s="166">
        <f>IF(E15&gt;0,D15/E15,0)</f>
        <v>0</v>
      </c>
      <c r="I15" s="165">
        <f>SUM('Feuille de match'!F83:F85)</f>
        <v>0</v>
      </c>
      <c r="J15" s="158"/>
      <c r="K15" s="14"/>
      <c r="L15" s="351" t="s">
        <v>81</v>
      </c>
      <c r="M15" s="352"/>
      <c r="N15" s="16">
        <f>_xlfn.IFERROR(VLOOKUP(2,$B$14:$C$16,2,FALSE),"")</f>
      </c>
      <c r="O15" s="16"/>
      <c r="P15" s="140"/>
      <c r="Q15" s="145"/>
      <c r="R15" s="145"/>
      <c r="S15" s="145"/>
      <c r="T15" s="145"/>
      <c r="U15" s="145"/>
      <c r="V15" s="145"/>
      <c r="W15" s="145"/>
      <c r="X15" s="145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ht="14.25" customHeight="1">
      <c r="A16" s="3"/>
      <c r="B16" s="225">
        <f>K16</f>
        <v>0</v>
      </c>
      <c r="C16" s="164">
        <f>IF(Participants!H20&lt;&gt;"","",IF(Participants!D20="","",Participants!D20))</f>
      </c>
      <c r="D16" s="165">
        <f>SUM('Feuille de match'!B99:B101)</f>
        <v>0</v>
      </c>
      <c r="E16" s="165">
        <f>SUM('Feuille de match'!C99:C101)</f>
        <v>0</v>
      </c>
      <c r="F16" s="165">
        <f>MAX('Feuille de match'!D99:D101)</f>
        <v>0</v>
      </c>
      <c r="G16" s="166">
        <f>MAX('Feuille de match'!O98:Q98)</f>
        <v>0</v>
      </c>
      <c r="H16" s="166">
        <f>IF(E16&gt;0,D16/E16,0)</f>
        <v>0</v>
      </c>
      <c r="I16" s="165">
        <f>SUM('Feuille de match'!F99:F101)</f>
        <v>0</v>
      </c>
      <c r="J16" s="158"/>
      <c r="K16" s="14"/>
      <c r="L16" s="351" t="s">
        <v>82</v>
      </c>
      <c r="M16" s="352"/>
      <c r="N16" s="16">
        <f>_xlfn.IFERROR(VLOOKUP(3,$B$14:$C$16,2,FALSE),"")</f>
      </c>
      <c r="O16" s="16"/>
      <c r="P16" s="140"/>
      <c r="Q16" s="145"/>
      <c r="R16" s="145"/>
      <c r="S16" s="145"/>
      <c r="T16" s="145"/>
      <c r="U16" s="145"/>
      <c r="V16" s="145"/>
      <c r="W16" s="145"/>
      <c r="X16" s="145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ht="9" customHeight="1">
      <c r="A17" s="3"/>
      <c r="B17" s="225"/>
      <c r="C17" s="159"/>
      <c r="D17" s="159"/>
      <c r="E17" s="159"/>
      <c r="F17" s="159"/>
      <c r="G17" s="160"/>
      <c r="H17" s="159"/>
      <c r="I17" s="159"/>
      <c r="J17" s="158"/>
      <c r="K17" s="146"/>
      <c r="L17" s="16"/>
      <c r="M17" s="16"/>
      <c r="N17" s="16"/>
      <c r="O17" s="16"/>
      <c r="P17" s="140"/>
      <c r="Q17" s="145"/>
      <c r="R17" s="145"/>
      <c r="S17" s="145"/>
      <c r="T17" s="145"/>
      <c r="U17" s="145"/>
      <c r="V17" s="145"/>
      <c r="W17" s="141"/>
      <c r="X17" s="14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ht="14.25" customHeight="1">
      <c r="A18" s="3"/>
      <c r="B18" s="225">
        <f>K18</f>
        <v>0</v>
      </c>
      <c r="C18" s="207">
        <f>IF(Participants!D22="","",Participants!D22)</f>
      </c>
      <c r="D18" s="208">
        <f>SUM('Feuille de match'!I67:I69)</f>
        <v>0</v>
      </c>
      <c r="E18" s="208">
        <f>SUM('Feuille de match'!J67:J69)</f>
        <v>0</v>
      </c>
      <c r="F18" s="208">
        <f>MAX('Feuille de match'!K67:K69)</f>
        <v>0</v>
      </c>
      <c r="G18" s="209">
        <f>MAX('Feuille de match'!U66:W66)</f>
        <v>0</v>
      </c>
      <c r="H18" s="209">
        <f>IF(E18&gt;0,D18/E18,)</f>
        <v>0</v>
      </c>
      <c r="I18" s="208">
        <f>SUM('Feuille de match'!M67:M69)</f>
        <v>0</v>
      </c>
      <c r="J18" s="158"/>
      <c r="K18" s="14"/>
      <c r="L18" s="351" t="s">
        <v>80</v>
      </c>
      <c r="M18" s="352"/>
      <c r="N18" s="16">
        <f>_xlfn.IFERROR(VLOOKUP(1,$B$18:$C$20,2,FALSE),"")</f>
      </c>
      <c r="O18" s="16"/>
      <c r="P18" s="140"/>
      <c r="Q18" s="145"/>
      <c r="R18" s="145"/>
      <c r="S18" s="145"/>
      <c r="T18" s="145"/>
      <c r="U18" s="145"/>
      <c r="V18" s="145"/>
      <c r="W18" s="145"/>
      <c r="X18" s="145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ht="14.25" customHeight="1">
      <c r="A19" s="3"/>
      <c r="B19" s="225">
        <f>K19</f>
        <v>0</v>
      </c>
      <c r="C19" s="207">
        <f>IF(Participants!D23="","",Participants!D23)</f>
      </c>
      <c r="D19" s="208">
        <f>SUM('Feuille de match'!I83:I85)</f>
        <v>0</v>
      </c>
      <c r="E19" s="208">
        <f>SUM('Feuille de match'!J83:J85)</f>
        <v>0</v>
      </c>
      <c r="F19" s="208">
        <f>MAX('Feuille de match'!K83:K85)</f>
        <v>0</v>
      </c>
      <c r="G19" s="209">
        <f>MAX('Feuille de match'!U82:W82)</f>
        <v>0</v>
      </c>
      <c r="H19" s="209">
        <f>IF(E19&gt;0,D19/E19,)</f>
        <v>0</v>
      </c>
      <c r="I19" s="208">
        <f>SUM('Feuille de match'!M83:M85)</f>
        <v>0</v>
      </c>
      <c r="J19" s="210"/>
      <c r="K19" s="14"/>
      <c r="L19" s="351" t="s">
        <v>81</v>
      </c>
      <c r="M19" s="352"/>
      <c r="N19" s="16">
        <f>_xlfn.IFERROR(VLOOKUP(2,$B$18:$C$20,2,FALSE),"")</f>
      </c>
      <c r="O19" s="16"/>
      <c r="P19" s="140"/>
      <c r="Q19" s="145"/>
      <c r="R19" s="145"/>
      <c r="S19" s="145"/>
      <c r="T19" s="145"/>
      <c r="U19" s="145"/>
      <c r="V19" s="145"/>
      <c r="W19" s="145"/>
      <c r="X19" s="145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ht="14.25" customHeight="1">
      <c r="A20" s="3"/>
      <c r="B20" s="225">
        <f>K20</f>
        <v>0</v>
      </c>
      <c r="C20" s="207">
        <f>IF(Participants!H24&lt;&gt;"","",IF(Participants!D24="","",Participants!D24))</f>
      </c>
      <c r="D20" s="208">
        <f>SUM('Feuille de match'!I99:I101)</f>
        <v>0</v>
      </c>
      <c r="E20" s="208">
        <f>SUM('Feuille de match'!J99:J101)</f>
        <v>0</v>
      </c>
      <c r="F20" s="208">
        <f>MAX('Feuille de match'!K99:K101)</f>
        <v>0</v>
      </c>
      <c r="G20" s="209">
        <f>MAX('Feuille de match'!U98:W98)</f>
        <v>0</v>
      </c>
      <c r="H20" s="209">
        <f>IF(E20&gt;0,D20/E20,)</f>
        <v>0</v>
      </c>
      <c r="I20" s="208">
        <f>SUM('Feuille de match'!M99:M101)</f>
        <v>0</v>
      </c>
      <c r="J20" s="210"/>
      <c r="K20" s="14"/>
      <c r="L20" s="351" t="s">
        <v>82</v>
      </c>
      <c r="M20" s="352"/>
      <c r="N20" s="16">
        <f>_xlfn.IFERROR(VLOOKUP(3,$B$18:$C$20,2,FALSE),"")</f>
      </c>
      <c r="O20" s="16"/>
      <c r="P20" s="140"/>
      <c r="Q20" s="145"/>
      <c r="R20" s="145"/>
      <c r="S20" s="145"/>
      <c r="T20" s="145"/>
      <c r="U20" s="145"/>
      <c r="V20" s="145"/>
      <c r="W20" s="145"/>
      <c r="X20" s="145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ht="14.25" customHeight="1">
      <c r="A21" s="3"/>
      <c r="B21" s="226"/>
      <c r="C21" s="159"/>
      <c r="D21" s="146"/>
      <c r="E21" s="146"/>
      <c r="F21" s="146"/>
      <c r="G21" s="167"/>
      <c r="H21" s="146"/>
      <c r="I21" s="146"/>
      <c r="J21" s="146"/>
      <c r="K21" s="146"/>
      <c r="L21" s="16"/>
      <c r="M21" s="16"/>
      <c r="N21" s="16"/>
      <c r="O21" s="16"/>
      <c r="P21" s="140"/>
      <c r="Q21" s="145"/>
      <c r="R21" s="145"/>
      <c r="S21" s="145"/>
      <c r="T21" s="145"/>
      <c r="U21" s="145"/>
      <c r="V21" s="145"/>
      <c r="W21" s="141"/>
      <c r="X21" s="141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ht="9" customHeight="1">
      <c r="A22" s="3"/>
      <c r="B22" s="227"/>
      <c r="C22" s="3"/>
      <c r="D22" s="3"/>
      <c r="E22" s="3"/>
      <c r="F22" s="3"/>
      <c r="G22" s="168"/>
      <c r="H22" s="3"/>
      <c r="I22" s="3"/>
      <c r="J22" s="3"/>
      <c r="K22" s="3"/>
      <c r="L22" s="169"/>
      <c r="M22" s="169"/>
      <c r="N22" s="169"/>
      <c r="O22" s="169"/>
      <c r="P22" s="140"/>
      <c r="Q22" s="145"/>
      <c r="R22" s="145"/>
      <c r="S22" s="145"/>
      <c r="T22" s="145"/>
      <c r="U22" s="145"/>
      <c r="V22" s="145"/>
      <c r="W22" s="141"/>
      <c r="X22" s="14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ht="14.25" customHeight="1">
      <c r="A23" s="3"/>
      <c r="B23" s="228"/>
      <c r="C23" s="147" t="s">
        <v>83</v>
      </c>
      <c r="D23" s="159"/>
      <c r="E23" s="159"/>
      <c r="F23" s="159"/>
      <c r="G23" s="160"/>
      <c r="H23" s="159"/>
      <c r="I23" s="159"/>
      <c r="J23" s="159"/>
      <c r="K23" s="159"/>
      <c r="L23" s="361"/>
      <c r="M23" s="361"/>
      <c r="N23" s="361"/>
      <c r="O23" s="170"/>
      <c r="P23" s="140"/>
      <c r="Q23" s="145"/>
      <c r="R23" s="145"/>
      <c r="S23" s="145"/>
      <c r="T23" s="145"/>
      <c r="U23" s="145"/>
      <c r="V23" s="145"/>
      <c r="W23" s="141"/>
      <c r="X23" s="14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ht="14.25" customHeight="1">
      <c r="A24" s="3"/>
      <c r="B24" s="226">
        <f>K24</f>
        <v>0</v>
      </c>
      <c r="C24" s="155">
        <f>N6</f>
      </c>
      <c r="D24" s="171">
        <f>_xlfn.IFERROR(VLOOKUP($C$24,$C$6:$I$8,2,FALSE),0)</f>
        <v>0</v>
      </c>
      <c r="E24" s="171">
        <f>_xlfn.IFERROR(VLOOKUP($C$24,$C$6:$I$8,3,FALSE),0)</f>
        <v>0</v>
      </c>
      <c r="F24" s="171">
        <f>_xlfn.IFERROR(VLOOKUP($C$24,$C$6:$I$8,4,FALSE),0)</f>
        <v>0</v>
      </c>
      <c r="G24" s="157">
        <f>_xlfn.IFERROR(VLOOKUP($C$24,$C$6:$I$8,5,FALSE),0)</f>
        <v>0</v>
      </c>
      <c r="H24" s="157">
        <f>_xlfn.IFERROR(VLOOKUP($C$24,$C$6:$I$8,6,FALSE),0)</f>
        <v>0</v>
      </c>
      <c r="I24" s="171">
        <f>_xlfn.IFERROR(VLOOKUP($C$24,$C$6:$I$8,7,FALSE),0)</f>
        <v>0</v>
      </c>
      <c r="J24" s="159"/>
      <c r="K24" s="14"/>
      <c r="L24" s="351" t="s">
        <v>80</v>
      </c>
      <c r="M24" s="352"/>
      <c r="N24" s="16">
        <f>_xlfn.IFERROR(VLOOKUP(1,class_ap_qual,2,FALSE),"")</f>
      </c>
      <c r="O24" s="170">
        <f>IF(N24&lt;&gt;"",VLOOKUP(N24,$C$6:$J$16,8,FALSE),"")</f>
      </c>
      <c r="P24" s="140"/>
      <c r="Q24" s="145"/>
      <c r="R24" s="145"/>
      <c r="S24" s="145"/>
      <c r="T24" s="145"/>
      <c r="U24" s="145"/>
      <c r="V24" s="145"/>
      <c r="W24" s="141"/>
      <c r="X24" s="14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ht="14.25" customHeight="1">
      <c r="A25" s="3"/>
      <c r="B25" s="225">
        <f>K25</f>
        <v>0</v>
      </c>
      <c r="C25" s="161">
        <f>N10</f>
      </c>
      <c r="D25" s="172">
        <f>_xlfn.IFERROR(VLOOKUP($C$25,$C$10:$I$12,2,FALSE),0)</f>
        <v>0</v>
      </c>
      <c r="E25" s="172">
        <f>_xlfn.IFERROR(VLOOKUP($C$25,$C$10:$I$12,3,FALSE),0)</f>
        <v>0</v>
      </c>
      <c r="F25" s="172">
        <f>_xlfn.IFERROR(VLOOKUP($C$25,$C$10:$I$12,4,FALSE),0)</f>
        <v>0</v>
      </c>
      <c r="G25" s="183">
        <f>_xlfn.IFERROR(VLOOKUP($C$25,$C$10:$I$12,5,FALSE),0)</f>
        <v>0</v>
      </c>
      <c r="H25" s="163">
        <f>_xlfn.IFERROR(VLOOKUP($C$25,$C$10:$I$12,6,FALSE),0)</f>
        <v>0</v>
      </c>
      <c r="I25" s="172">
        <f>_xlfn.IFERROR(VLOOKUP($C$25,$C$10:$I$12,7,FALSE),0)</f>
        <v>0</v>
      </c>
      <c r="J25" s="159"/>
      <c r="K25" s="14"/>
      <c r="L25" s="351" t="s">
        <v>81</v>
      </c>
      <c r="M25" s="352"/>
      <c r="N25" s="16">
        <f>_xlfn.IFERROR(VLOOKUP(2,class_ap_qual,2,FALSE),"")</f>
      </c>
      <c r="O25" s="170">
        <f>IF(N25&lt;&gt;"",VLOOKUP(N25,$C$6:$J$16,8,FALSE),"")</f>
      </c>
      <c r="P25" s="140"/>
      <c r="Q25" s="145"/>
      <c r="R25" s="145"/>
      <c r="S25" s="145"/>
      <c r="T25" s="145"/>
      <c r="U25" s="145"/>
      <c r="V25" s="145"/>
      <c r="W25" s="141"/>
      <c r="X25" s="141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ht="14.25" customHeight="1">
      <c r="A26" s="3"/>
      <c r="B26" s="225">
        <f>K26</f>
        <v>0</v>
      </c>
      <c r="C26" s="164">
        <f>N14</f>
      </c>
      <c r="D26" s="165">
        <f>_xlfn.IFERROR(VLOOKUP($C$26,$C$14:$I$16,2,FALSE),0)</f>
        <v>0</v>
      </c>
      <c r="E26" s="165">
        <f>_xlfn.IFERROR(VLOOKUP($C$26,$C$14:$I$16,3,FALSE),0)</f>
        <v>0</v>
      </c>
      <c r="F26" s="165">
        <f>_xlfn.IFERROR(VLOOKUP($C$26,$C$14:$I$16,4,FALSE),0)</f>
        <v>0</v>
      </c>
      <c r="G26" s="166">
        <f>_xlfn.IFERROR(VLOOKUP($C$26,$C$14:$I$16,5,FALSE),0)</f>
        <v>0</v>
      </c>
      <c r="H26" s="166">
        <f>_xlfn.IFERROR(VLOOKUP($C$26,$C$14:$I$16,6,FALSE),0)</f>
        <v>0</v>
      </c>
      <c r="I26" s="165">
        <f>_xlfn.IFERROR(VLOOKUP($C$26,$C$14:$I$16,7,FALSE),0)</f>
        <v>0</v>
      </c>
      <c r="J26" s="159"/>
      <c r="K26" s="14"/>
      <c r="L26" s="351" t="s">
        <v>82</v>
      </c>
      <c r="M26" s="352"/>
      <c r="N26" s="16">
        <f>IF(L28=FALSE,_xlfn.IFERROR(VLOOKUP(3,class_ap_qual,2,FALSE),""),_xlfn.IFERROR(VLOOKUP(4,class_ap_qual,2,FALSE),""))</f>
      </c>
      <c r="O26" s="170"/>
      <c r="P26" s="140"/>
      <c r="Q26" s="145"/>
      <c r="R26" s="145"/>
      <c r="S26" s="145"/>
      <c r="T26" s="145"/>
      <c r="U26" s="145"/>
      <c r="V26" s="145"/>
      <c r="W26" s="141"/>
      <c r="X26" s="141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ht="14.25" customHeight="1">
      <c r="A27" s="3"/>
      <c r="B27" s="225">
        <f>K27</f>
        <v>0</v>
      </c>
      <c r="C27" s="207">
        <f>N18</f>
      </c>
      <c r="D27" s="208">
        <f>_xlfn.IFERROR(VLOOKUP($C$27,$C$14:$I$20,2,FALSE),0)</f>
        <v>0</v>
      </c>
      <c r="E27" s="208">
        <f>_xlfn.IFERROR(VLOOKUP($C$27,$C$14:$I$20,3,FALSE),0)</f>
        <v>0</v>
      </c>
      <c r="F27" s="208">
        <f>_xlfn.IFERROR(VLOOKUP($C$27,$C$14:$I$20,4,FALSE),0)</f>
        <v>0</v>
      </c>
      <c r="G27" s="209">
        <f>_xlfn.IFERROR(VLOOKUP($C$27,$C$14:$I$20,5,FALSE),0)</f>
        <v>0</v>
      </c>
      <c r="H27" s="209">
        <f>_xlfn.IFERROR(VLOOKUP($C$27,$C$14:$I$20,6,FALSE),0)</f>
        <v>0</v>
      </c>
      <c r="I27" s="208">
        <f>_xlfn.IFERROR(VLOOKUP($C$27,$C$14:$I$20,7,FALSE),0)</f>
        <v>0</v>
      </c>
      <c r="J27" s="159"/>
      <c r="K27" s="14"/>
      <c r="L27" s="351" t="s">
        <v>84</v>
      </c>
      <c r="M27" s="352"/>
      <c r="N27" s="16">
        <f>IF(L28=FALSE,_xlfn.IFERROR(VLOOKUP(4,class_ap_qual,2,FALSE),""),_xlfn.IFERROR(VLOOKUP(3,class_ap_qual,2,FALSE),""))</f>
      </c>
      <c r="O27" s="170">
        <f>IF(N27&lt;&gt;"",VLOOKUP(N27,$C$6:$J$16,8,FALSE),"")</f>
      </c>
      <c r="P27" s="140"/>
      <c r="Q27" s="145"/>
      <c r="R27" s="145"/>
      <c r="S27" s="145"/>
      <c r="T27" s="145"/>
      <c r="U27" s="145"/>
      <c r="V27" s="145"/>
      <c r="W27" s="141"/>
      <c r="X27" s="141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ht="24.75" customHeight="1">
      <c r="A28" s="3"/>
      <c r="B28" s="226"/>
      <c r="C28" s="159"/>
      <c r="D28" s="159"/>
      <c r="E28" s="159"/>
      <c r="F28" s="159"/>
      <c r="G28" s="160"/>
      <c r="H28" s="159"/>
      <c r="I28" s="159"/>
      <c r="J28" s="159"/>
      <c r="K28" s="159"/>
      <c r="L28" s="279" t="b">
        <v>0</v>
      </c>
      <c r="M28" s="16"/>
      <c r="N28" s="16"/>
      <c r="O28" s="170"/>
      <c r="P28" s="140"/>
      <c r="Q28" s="145"/>
      <c r="R28" s="145"/>
      <c r="S28" s="145"/>
      <c r="T28" s="145"/>
      <c r="U28" s="145"/>
      <c r="V28" s="145"/>
      <c r="W28" s="141"/>
      <c r="X28" s="141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ht="9" customHeight="1">
      <c r="A29" s="3"/>
      <c r="B29" s="227"/>
      <c r="C29" s="3"/>
      <c r="D29" s="145"/>
      <c r="E29" s="145"/>
      <c r="F29" s="145"/>
      <c r="G29" s="173"/>
      <c r="H29" s="145"/>
      <c r="I29" s="145"/>
      <c r="J29" s="145"/>
      <c r="K29" s="145"/>
      <c r="L29" s="169"/>
      <c r="M29" s="169"/>
      <c r="N29" s="169"/>
      <c r="O29" s="169"/>
      <c r="P29" s="140"/>
      <c r="Q29" s="145"/>
      <c r="R29" s="145"/>
      <c r="S29" s="145"/>
      <c r="T29" s="145"/>
      <c r="U29" s="145"/>
      <c r="V29" s="145"/>
      <c r="W29" s="141"/>
      <c r="X29" s="14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ht="14.25" customHeight="1">
      <c r="A30" s="3"/>
      <c r="B30" s="228"/>
      <c r="C30" s="147" t="s">
        <v>125</v>
      </c>
      <c r="D30" s="87"/>
      <c r="E30" s="87"/>
      <c r="F30" s="87"/>
      <c r="G30" s="174"/>
      <c r="H30" s="87"/>
      <c r="I30" s="87"/>
      <c r="J30" s="87"/>
      <c r="K30" s="175"/>
      <c r="L30" s="361" t="s">
        <v>176</v>
      </c>
      <c r="M30" s="361"/>
      <c r="N30" s="361"/>
      <c r="O30" s="170"/>
      <c r="P30" s="140"/>
      <c r="Q30" s="145"/>
      <c r="R30" s="145"/>
      <c r="S30" s="145"/>
      <c r="T30" s="145"/>
      <c r="U30" s="145"/>
      <c r="V30" s="145"/>
      <c r="W30" s="141"/>
      <c r="X30" s="141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ht="14.25" customHeight="1">
      <c r="A31" s="3"/>
      <c r="B31" s="225">
        <f aca="true" t="shared" si="0" ref="B31:B38">K31</f>
        <v>0</v>
      </c>
      <c r="C31" s="155">
        <f>N7</f>
      </c>
      <c r="D31" s="156">
        <f>_xlfn.IFERROR(VLOOKUP($C$31,$C$6:$I$16,2,FALSE),0)</f>
        <v>0</v>
      </c>
      <c r="E31" s="156">
        <f>_xlfn.IFERROR(VLOOKUP($C$31,$C$6:$I$16,3,FALSE),0)</f>
        <v>0</v>
      </c>
      <c r="F31" s="156">
        <f>_xlfn.IFERROR(VLOOKUP($C$31,$C$6:$I$16,4,FALSE),0)</f>
        <v>0</v>
      </c>
      <c r="G31" s="157">
        <f>_xlfn.IFERROR(VLOOKUP($C$31,$C$6:$I$16,5,FALSE),0)</f>
        <v>0</v>
      </c>
      <c r="H31" s="157">
        <f>_xlfn.IFERROR(VLOOKUP($C$31,$C$6:$I$16,6,FALSE),0)</f>
        <v>0</v>
      </c>
      <c r="I31" s="156">
        <f>_xlfn.IFERROR(VLOOKUP($C$31,$C$6:$I$16,7,FALSE),0)</f>
        <v>0</v>
      </c>
      <c r="J31" s="146"/>
      <c r="K31" s="14"/>
      <c r="L31" s="351" t="s">
        <v>85</v>
      </c>
      <c r="M31" s="362"/>
      <c r="N31" s="16">
        <f>_xlfn.IFERROR(VLOOKUP(5,class_ap_qual,2,FALSE),"")</f>
      </c>
      <c r="O31" s="170">
        <f>IF(N31&lt;&gt;"",VLOOKUP(N31,$C$6:$J$16,8,FALSE),"")</f>
      </c>
      <c r="P31" s="140"/>
      <c r="Q31" s="145"/>
      <c r="R31" s="145"/>
      <c r="S31" s="145"/>
      <c r="T31" s="145"/>
      <c r="U31" s="145"/>
      <c r="V31" s="145"/>
      <c r="W31" s="141"/>
      <c r="X31" s="141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ht="14.25" customHeight="1">
      <c r="A32" s="3"/>
      <c r="B32" s="225">
        <f t="shared" si="0"/>
        <v>0</v>
      </c>
      <c r="C32" s="161">
        <f>N11</f>
      </c>
      <c r="D32" s="162">
        <f>_xlfn.IFERROR(VLOOKUP($C$32,$C$6:$I$16,2,FALSE),0)</f>
        <v>0</v>
      </c>
      <c r="E32" s="162">
        <f>_xlfn.IFERROR(VLOOKUP($C$32,$C$6:$I$16,3,FALSE),0)</f>
        <v>0</v>
      </c>
      <c r="F32" s="162">
        <f>_xlfn.IFERROR(VLOOKUP($C$32,$C$6:$I$16,4,FALSE),0)</f>
        <v>0</v>
      </c>
      <c r="G32" s="163">
        <f>_xlfn.IFERROR(VLOOKUP($C$32,$C$6:$I$16,5,FALSE),0)</f>
        <v>0</v>
      </c>
      <c r="H32" s="163">
        <f>_xlfn.IFERROR(VLOOKUP($C$32,$C$6:$I$16,6,FALSE),0)</f>
        <v>0</v>
      </c>
      <c r="I32" s="162">
        <f>_xlfn.IFERROR(VLOOKUP($C$32,$C$6:$I$16,7,FALSE),0)</f>
        <v>0</v>
      </c>
      <c r="J32" s="146"/>
      <c r="K32" s="14"/>
      <c r="L32" s="351" t="s">
        <v>86</v>
      </c>
      <c r="M32" s="362"/>
      <c r="N32" s="16">
        <f>_xlfn.IFERROR(VLOOKUP(6,class_ap_qual,2,FALSE),"")</f>
      </c>
      <c r="O32" s="170"/>
      <c r="P32" s="140"/>
      <c r="Q32" s="145"/>
      <c r="R32" s="145"/>
      <c r="S32" s="145"/>
      <c r="T32" s="145"/>
      <c r="U32" s="145"/>
      <c r="V32" s="145"/>
      <c r="W32" s="141"/>
      <c r="X32" s="14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ht="14.25" customHeight="1">
      <c r="A33" s="3"/>
      <c r="B33" s="225">
        <f t="shared" si="0"/>
        <v>0</v>
      </c>
      <c r="C33" s="164">
        <f>N15</f>
      </c>
      <c r="D33" s="165">
        <f>_xlfn.IFERROR(VLOOKUP($C$33,$C$6:$I$16,2,FALSE),0)</f>
        <v>0</v>
      </c>
      <c r="E33" s="165">
        <f>_xlfn.IFERROR(VLOOKUP($C$33,$C$6:$I$16,3,FALSE),0)</f>
        <v>0</v>
      </c>
      <c r="F33" s="165">
        <f>_xlfn.IFERROR(VLOOKUP($C$33,$C$6:$I$16,4,FALSE),0)</f>
        <v>0</v>
      </c>
      <c r="G33" s="166">
        <f>_xlfn.IFERROR(VLOOKUP($C$33,$C$6:$I$16,5,FALSE),0)</f>
        <v>0</v>
      </c>
      <c r="H33" s="166">
        <f>_xlfn.IFERROR(VLOOKUP($C$33,$C$6:$I$16,6,FALSE),0)</f>
        <v>0</v>
      </c>
      <c r="I33" s="165">
        <f>_xlfn.IFERROR(VLOOKUP($C$33,$C$6:$I$16,7,FALSE),0)</f>
        <v>0</v>
      </c>
      <c r="J33" s="146"/>
      <c r="K33" s="14"/>
      <c r="L33" s="351" t="s">
        <v>87</v>
      </c>
      <c r="M33" s="362"/>
      <c r="N33" s="16">
        <f>_xlfn.IFERROR(VLOOKUP(7,class_ap_qual,2,FALSE),"")</f>
      </c>
      <c r="O33" s="170"/>
      <c r="P33" s="140"/>
      <c r="Q33" s="145"/>
      <c r="R33" s="145"/>
      <c r="S33" s="145"/>
      <c r="T33" s="145"/>
      <c r="U33" s="145"/>
      <c r="V33" s="145"/>
      <c r="W33" s="141"/>
      <c r="X33" s="141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ht="14.25" customHeight="1">
      <c r="A34" s="3"/>
      <c r="B34" s="226">
        <f t="shared" si="0"/>
        <v>0</v>
      </c>
      <c r="C34" s="207">
        <f>N19</f>
      </c>
      <c r="D34" s="208">
        <f>_xlfn.IFERROR(VLOOKUP($C$34,$C$14:$I$20,2,FALSE),0)</f>
        <v>0</v>
      </c>
      <c r="E34" s="208">
        <f>_xlfn.IFERROR(VLOOKUP($C$34,$C$14:$I$20,3,FALSE),0)</f>
        <v>0</v>
      </c>
      <c r="F34" s="208">
        <f>_xlfn.IFERROR(VLOOKUP($C$34,$C$14:$I$20,4,FALSE),0)</f>
        <v>0</v>
      </c>
      <c r="G34" s="209">
        <f>_xlfn.IFERROR(VLOOKUP($C$34,$C$14:$I$20,5,FALSE),0)</f>
        <v>0</v>
      </c>
      <c r="H34" s="209">
        <f>_xlfn.IFERROR(VLOOKUP($C$34,$C$14:$I$20,6,FALSE),0)</f>
        <v>0</v>
      </c>
      <c r="I34" s="208">
        <f>_xlfn.IFERROR(VLOOKUP($C$34,$C$14:$I$20,7,FALSE),0)</f>
        <v>0</v>
      </c>
      <c r="J34" s="146"/>
      <c r="K34" s="14"/>
      <c r="L34" s="351" t="s">
        <v>88</v>
      </c>
      <c r="M34" s="362"/>
      <c r="N34" s="16">
        <f>_xlfn.IFERROR(VLOOKUP(8,class_ap_qual,2,FALSE),"")</f>
      </c>
      <c r="O34" s="170"/>
      <c r="P34" s="140"/>
      <c r="Q34" s="145"/>
      <c r="R34" s="145"/>
      <c r="S34" s="145"/>
      <c r="T34" s="145"/>
      <c r="U34" s="145"/>
      <c r="V34" s="145"/>
      <c r="W34" s="141"/>
      <c r="X34" s="141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ht="14.25" customHeight="1">
      <c r="A35" s="3"/>
      <c r="B35" s="226">
        <f t="shared" si="0"/>
        <v>0</v>
      </c>
      <c r="C35" s="155">
        <f>N8</f>
      </c>
      <c r="D35" s="156">
        <f>_xlfn.IFERROR(VLOOKUP($C$35,$C$6:$I$16,2,FALSE),0)</f>
        <v>0</v>
      </c>
      <c r="E35" s="156">
        <f>_xlfn.IFERROR(VLOOKUP($C$35,$C$6:$I$16,3,FALSE),0)</f>
        <v>0</v>
      </c>
      <c r="F35" s="156">
        <f>_xlfn.IFERROR(VLOOKUP($C$35,$C$6:$I$16,4,FALSE),0)</f>
        <v>0</v>
      </c>
      <c r="G35" s="157">
        <f>_xlfn.IFERROR(VLOOKUP($C$35,$C$6:$I$16,5,FALSE),0)</f>
        <v>0</v>
      </c>
      <c r="H35" s="157">
        <f>_xlfn.IFERROR(VLOOKUP($C$35,$C$6:$I$16,6,FALSE),0)</f>
        <v>0</v>
      </c>
      <c r="I35" s="156">
        <f>_xlfn.IFERROR(VLOOKUP($C$35,$C$6:$I$16,7,FALSE),0)</f>
        <v>0</v>
      </c>
      <c r="J35" s="146"/>
      <c r="K35" s="14"/>
      <c r="L35" s="351" t="s">
        <v>89</v>
      </c>
      <c r="M35" s="362"/>
      <c r="N35" s="16">
        <f>_xlfn.IFERROR(VLOOKUP(9,class_ap_qual,2,FALSE),"")</f>
      </c>
      <c r="O35" s="170"/>
      <c r="P35" s="140"/>
      <c r="Q35" s="145"/>
      <c r="R35" s="145"/>
      <c r="S35" s="145"/>
      <c r="T35" s="145"/>
      <c r="U35" s="145"/>
      <c r="V35" s="145"/>
      <c r="W35" s="141"/>
      <c r="X35" s="141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ht="14.25" customHeight="1">
      <c r="A36" s="3"/>
      <c r="B36" s="226">
        <f t="shared" si="0"/>
        <v>0</v>
      </c>
      <c r="C36" s="161">
        <f>N12</f>
      </c>
      <c r="D36" s="162">
        <f>_xlfn.IFERROR(VLOOKUP($C$36,$C$6:$I$16,2,FALSE),0)</f>
        <v>0</v>
      </c>
      <c r="E36" s="162">
        <f>_xlfn.IFERROR(VLOOKUP($C$36,$C$6:$I$16,3,FALSE),0)</f>
        <v>0</v>
      </c>
      <c r="F36" s="162">
        <f>_xlfn.IFERROR(VLOOKUP($C$36,$C$6:$I$16,4,FALSE),0)</f>
        <v>0</v>
      </c>
      <c r="G36" s="163">
        <f>_xlfn.IFERROR(VLOOKUP($C$36,$C$6:$I$16,5,FALSE),0)</f>
        <v>0</v>
      </c>
      <c r="H36" s="163">
        <f>_xlfn.IFERROR(VLOOKUP($C$36,$C$6:$I$16,6,FALSE),0)</f>
        <v>0</v>
      </c>
      <c r="I36" s="162">
        <f>_xlfn.IFERROR(VLOOKUP($C$36,$C$6:$I$16,7,FALSE),0)</f>
        <v>0</v>
      </c>
      <c r="J36" s="146"/>
      <c r="K36" s="14"/>
      <c r="L36" s="351" t="s">
        <v>154</v>
      </c>
      <c r="M36" s="362"/>
      <c r="N36" s="16">
        <f>_xlfn.IFERROR(VLOOKUP(10,class_ap_qual,2,FALSE),"")</f>
      </c>
      <c r="O36" s="170"/>
      <c r="P36" s="140"/>
      <c r="Q36" s="145"/>
      <c r="R36" s="145"/>
      <c r="S36" s="145"/>
      <c r="T36" s="145"/>
      <c r="U36" s="145"/>
      <c r="V36" s="145"/>
      <c r="W36" s="141"/>
      <c r="X36" s="141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ht="14.25" customHeight="1">
      <c r="A37" s="3"/>
      <c r="B37" s="226">
        <f t="shared" si="0"/>
        <v>0</v>
      </c>
      <c r="C37" s="164">
        <f>N16</f>
      </c>
      <c r="D37" s="165">
        <f>_xlfn.IFERROR(VLOOKUP($C$37,$C$6:$I$16,2,FALSE),0)</f>
        <v>0</v>
      </c>
      <c r="E37" s="165">
        <f>_xlfn.IFERROR(VLOOKUP($C$37,$C$6:$I$16,3,FALSE),0)</f>
        <v>0</v>
      </c>
      <c r="F37" s="165">
        <f>_xlfn.IFERROR(VLOOKUP($C$37,$C$6:$I$16,4,FALSE),0)</f>
        <v>0</v>
      </c>
      <c r="G37" s="166">
        <f>_xlfn.IFERROR(VLOOKUP($C$37,$C$6:$I$16,5,FALSE),0)</f>
        <v>0</v>
      </c>
      <c r="H37" s="166">
        <f>_xlfn.IFERROR(VLOOKUP($C$37,$C$6:$I$16,6,FALSE),0)</f>
        <v>0</v>
      </c>
      <c r="I37" s="165">
        <f>_xlfn.IFERROR(VLOOKUP($C$37,$C$6:$I$16,7,FALSE),0)</f>
        <v>0</v>
      </c>
      <c r="J37" s="146"/>
      <c r="K37" s="14"/>
      <c r="L37" s="351" t="s">
        <v>155</v>
      </c>
      <c r="M37" s="362"/>
      <c r="N37" s="16">
        <f>_xlfn.IFERROR(VLOOKUP(11,class_ap_qual,2,FALSE),"")</f>
      </c>
      <c r="O37" s="170"/>
      <c r="P37" s="140"/>
      <c r="Q37" s="145"/>
      <c r="R37" s="145"/>
      <c r="S37" s="145"/>
      <c r="T37" s="145"/>
      <c r="U37" s="145"/>
      <c r="V37" s="145"/>
      <c r="W37" s="141"/>
      <c r="X37" s="141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ht="14.25" customHeight="1">
      <c r="A38" s="3"/>
      <c r="B38" s="226">
        <f t="shared" si="0"/>
        <v>0</v>
      </c>
      <c r="C38" s="207">
        <f>N20</f>
      </c>
      <c r="D38" s="208">
        <f>_xlfn.IFERROR(VLOOKUP($C$38,$C$14:$I$20,2,FALSE),0)</f>
        <v>0</v>
      </c>
      <c r="E38" s="208">
        <f>_xlfn.IFERROR(VLOOKUP($C$38,$C$14:$I$20,3,FALSE),0)</f>
        <v>0</v>
      </c>
      <c r="F38" s="208">
        <f>_xlfn.IFERROR(VLOOKUP($C$38,$C$14:$I$20,4,FALSE),0)</f>
        <v>0</v>
      </c>
      <c r="G38" s="209">
        <f>_xlfn.IFERROR(VLOOKUP($C$38,$C$14:$I$20,5,FALSE),0)</f>
        <v>0</v>
      </c>
      <c r="H38" s="209">
        <f>_xlfn.IFERROR(VLOOKUP($C$38,$C$14:$I$20,6,FALSE),0)</f>
        <v>0</v>
      </c>
      <c r="I38" s="208">
        <f>_xlfn.IFERROR(VLOOKUP($C$38,$C$14:$I$20,7,FALSE),0)</f>
        <v>0</v>
      </c>
      <c r="J38" s="208"/>
      <c r="K38" s="14"/>
      <c r="L38" s="351" t="s">
        <v>156</v>
      </c>
      <c r="M38" s="362"/>
      <c r="N38" s="16">
        <f>_xlfn.IFERROR(VLOOKUP(12,class_ap_qual,2,FALSE),"")</f>
      </c>
      <c r="O38" s="170"/>
      <c r="P38" s="140"/>
      <c r="Q38" s="145"/>
      <c r="R38" s="145"/>
      <c r="S38" s="145"/>
      <c r="T38" s="145"/>
      <c r="U38" s="145"/>
      <c r="V38" s="145"/>
      <c r="W38" s="141"/>
      <c r="X38" s="141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ht="14.25" customHeight="1">
      <c r="A39" s="3"/>
      <c r="B39" s="225"/>
      <c r="C39" s="159"/>
      <c r="D39" s="159"/>
      <c r="E39" s="159"/>
      <c r="F39" s="159"/>
      <c r="G39" s="159"/>
      <c r="H39" s="159"/>
      <c r="I39" s="159"/>
      <c r="J39" s="159"/>
      <c r="K39" s="159"/>
      <c r="L39" s="154"/>
      <c r="M39" s="16"/>
      <c r="N39" s="16"/>
      <c r="O39" s="170"/>
      <c r="P39" s="140"/>
      <c r="Q39" s="145"/>
      <c r="R39" s="145"/>
      <c r="S39" s="145"/>
      <c r="T39" s="145"/>
      <c r="U39" s="145"/>
      <c r="V39" s="145"/>
      <c r="W39" s="141"/>
      <c r="X39" s="141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ht="12.75">
      <c r="A40" s="3"/>
      <c r="B40" s="145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ht="12.75">
      <c r="A41" s="3"/>
      <c r="B41" s="145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ht="12.75">
      <c r="A42" s="3"/>
      <c r="B42" s="145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ht="12.75">
      <c r="A43" s="3"/>
      <c r="B43" s="145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ht="12.75">
      <c r="A44" s="3"/>
      <c r="B44" s="145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ht="12.75">
      <c r="A45" s="3"/>
      <c r="B45" s="145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ht="12.75">
      <c r="A46" s="3"/>
      <c r="B46" s="145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ht="12.75">
      <c r="A47" s="3"/>
      <c r="B47" s="145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ht="12.75">
      <c r="A48" s="3"/>
      <c r="B48" s="145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ht="12.75">
      <c r="A49" s="3"/>
      <c r="B49" s="145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ht="12.75">
      <c r="A50" s="3"/>
      <c r="B50" s="145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ht="12.75">
      <c r="A51" s="3"/>
      <c r="B51" s="145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ht="12.75">
      <c r="A52" s="3"/>
      <c r="B52" s="145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ht="12.75">
      <c r="A53" s="3"/>
      <c r="B53" s="145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ht="12.75">
      <c r="A54" s="3"/>
      <c r="B54" s="145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ht="12.75">
      <c r="A55" s="3"/>
      <c r="B55" s="145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ht="12.75">
      <c r="A56" s="3"/>
      <c r="B56" s="145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ht="12.75">
      <c r="A57" s="3"/>
      <c r="B57" s="145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ht="12.75">
      <c r="A58" s="3"/>
      <c r="B58" s="145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ht="12.75">
      <c r="A59" s="3"/>
      <c r="B59" s="145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ht="12.75">
      <c r="A60" s="3"/>
      <c r="B60" s="145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ht="12.75">
      <c r="A61" s="3"/>
      <c r="B61" s="145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ht="12.75">
      <c r="A62" s="3"/>
      <c r="B62" s="145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ht="12.75">
      <c r="A63" s="3"/>
      <c r="B63" s="145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ht="12.75">
      <c r="A64" s="3"/>
      <c r="B64" s="145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ht="12.75">
      <c r="A65" s="3"/>
      <c r="B65" s="145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ht="12.75">
      <c r="A66" s="3"/>
      <c r="B66" s="145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ht="12.75">
      <c r="A67" s="3"/>
      <c r="B67" s="145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ht="12.75">
      <c r="A68" s="3"/>
      <c r="B68" s="145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ht="12.75">
      <c r="A69" s="3"/>
      <c r="B69" s="145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 ht="12.75">
      <c r="A70" s="3"/>
      <c r="B70" s="145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 ht="12.75">
      <c r="A71" s="3"/>
      <c r="B71" s="145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59" ht="12.75">
      <c r="A72" s="3"/>
      <c r="B72" s="145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1:59" ht="12.75">
      <c r="A73" s="3"/>
      <c r="B73" s="145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1:59" ht="12.75">
      <c r="A74" s="3"/>
      <c r="B74" s="145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1:59" ht="12.75">
      <c r="A75" s="3"/>
      <c r="B75" s="145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59" ht="12.75">
      <c r="A76" s="3"/>
      <c r="B76" s="145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1:59" ht="12.75">
      <c r="A77" s="3"/>
      <c r="B77" s="145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ht="12.75">
      <c r="A78" s="3"/>
      <c r="B78" s="145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ht="12.75">
      <c r="A79" s="3"/>
      <c r="B79" s="145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ht="12.75">
      <c r="A80" s="3"/>
      <c r="B80" s="145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ht="12.75">
      <c r="A81" s="3"/>
      <c r="B81" s="145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ht="12.75">
      <c r="A82" s="3"/>
      <c r="B82" s="145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ht="12.75">
      <c r="A83" s="3"/>
      <c r="B83" s="145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 ht="12.75">
      <c r="A84" s="3"/>
      <c r="B84" s="145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1:59" ht="12.75">
      <c r="A85" s="3"/>
      <c r="B85" s="145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12.75">
      <c r="A86" s="3"/>
      <c r="B86" s="145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2.75">
      <c r="A87" s="3"/>
      <c r="B87" s="145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2.75">
      <c r="A88" s="3"/>
      <c r="B88" s="145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2.75">
      <c r="A89" s="3"/>
      <c r="B89" s="145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2.75">
      <c r="A90" s="3"/>
      <c r="B90" s="145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ht="12.75">
      <c r="A91" s="3"/>
      <c r="B91" s="145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59" ht="12.75">
      <c r="A92" s="3"/>
      <c r="B92" s="145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59" ht="12.75">
      <c r="A93" s="3"/>
      <c r="B93" s="145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59" ht="12.75">
      <c r="A94" s="3"/>
      <c r="B94" s="145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 ht="12.75">
      <c r="A95" s="3"/>
      <c r="B95" s="145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59" ht="12.75">
      <c r="A96" s="3"/>
      <c r="B96" s="145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ht="12.75">
      <c r="A97" s="3"/>
      <c r="B97" s="145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ht="12.75">
      <c r="A98" s="3"/>
      <c r="B98" s="145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ht="12.75">
      <c r="A99" s="3"/>
      <c r="B99" s="145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ht="12.75">
      <c r="A100" s="3"/>
      <c r="B100" s="145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ht="12.75">
      <c r="A101" s="3"/>
      <c r="B101" s="145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ht="12.75">
      <c r="A102" s="3"/>
      <c r="B102" s="145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</sheetData>
  <sheetProtection password="CA59" sheet="1" selectLockedCells="1"/>
  <mergeCells count="34">
    <mergeCell ref="L36:M36"/>
    <mergeCell ref="L37:M37"/>
    <mergeCell ref="L38:M38"/>
    <mergeCell ref="L18:M18"/>
    <mergeCell ref="L19:M19"/>
    <mergeCell ref="L20:M20"/>
    <mergeCell ref="L35:M35"/>
    <mergeCell ref="L34:M34"/>
    <mergeCell ref="L11:M11"/>
    <mergeCell ref="L25:M25"/>
    <mergeCell ref="L32:M32"/>
    <mergeCell ref="L33:M33"/>
    <mergeCell ref="L31:M31"/>
    <mergeCell ref="L26:M26"/>
    <mergeCell ref="C4:K4"/>
    <mergeCell ref="L12:M12"/>
    <mergeCell ref="L14:M14"/>
    <mergeCell ref="L23:N23"/>
    <mergeCell ref="L30:N30"/>
    <mergeCell ref="L27:M27"/>
    <mergeCell ref="L6:M6"/>
    <mergeCell ref="L7:M7"/>
    <mergeCell ref="L8:M8"/>
    <mergeCell ref="L10:M10"/>
    <mergeCell ref="F2:I3"/>
    <mergeCell ref="L24:M24"/>
    <mergeCell ref="L1:M1"/>
    <mergeCell ref="L2:M2"/>
    <mergeCell ref="L3:M3"/>
    <mergeCell ref="L4:M4"/>
    <mergeCell ref="L15:M15"/>
    <mergeCell ref="L16:M16"/>
    <mergeCell ref="L5:N5"/>
    <mergeCell ref="A1:G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ignoredErrors>
    <ignoredError sqref="B6:B16 B27 B24:B25 B32:B34" unlockedFormula="1"/>
    <ignoredError sqref="O31" evalError="1"/>
  </ignoredError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AA35"/>
  <sheetViews>
    <sheetView showGridLines="0" showRowColHeaders="0" zoomScalePageLayoutView="0" workbookViewId="0" topLeftCell="A1">
      <selection activeCell="E4" sqref="E4"/>
    </sheetView>
  </sheetViews>
  <sheetFormatPr defaultColWidth="11.5" defaultRowHeight="12.75"/>
  <cols>
    <col min="1" max="1" width="8" style="87" customWidth="1"/>
    <col min="2" max="2" width="7.16015625" style="87" customWidth="1"/>
    <col min="3" max="3" width="32" style="87" customWidth="1"/>
    <col min="4" max="4" width="32" style="87" hidden="1" customWidth="1"/>
    <col min="5" max="6" width="12.5" style="87" customWidth="1"/>
    <col min="7" max="7" width="12" style="87" customWidth="1"/>
    <col min="8" max="9" width="12.5" style="87" customWidth="1"/>
    <col min="10" max="10" width="11.5" style="87" customWidth="1"/>
    <col min="11" max="12" width="11.5" style="82" customWidth="1"/>
    <col min="13" max="14" width="4.83203125" style="82" customWidth="1"/>
    <col min="15" max="16" width="11.5" style="82" customWidth="1"/>
    <col min="17" max="16384" width="11.5" style="87" customWidth="1"/>
  </cols>
  <sheetData>
    <row r="1" spans="1:14" s="82" customFormat="1" ht="51.75" customHeight="1">
      <c r="A1" s="320" t="s">
        <v>160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2"/>
    </row>
    <row r="2" spans="1:27" ht="21.75" customHeight="1">
      <c r="A2" s="83"/>
      <c r="B2" s="82"/>
      <c r="C2" s="84"/>
      <c r="D2" s="84"/>
      <c r="E2" s="85"/>
      <c r="F2" s="83"/>
      <c r="G2" s="84"/>
      <c r="H2" s="84"/>
      <c r="I2" s="84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s="89" customFormat="1" ht="39.75" customHeight="1">
      <c r="A3" s="379"/>
      <c r="B3" s="379"/>
      <c r="C3" s="199" t="s">
        <v>126</v>
      </c>
      <c r="D3" s="98"/>
      <c r="E3" s="99" t="s">
        <v>7</v>
      </c>
      <c r="F3" s="99" t="s">
        <v>8</v>
      </c>
      <c r="G3" s="99" t="s">
        <v>9</v>
      </c>
      <c r="H3" s="99" t="s">
        <v>10</v>
      </c>
      <c r="I3" s="100" t="s">
        <v>11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</row>
    <row r="4" spans="1:27" ht="24.75" customHeight="1">
      <c r="A4" s="370" t="s">
        <v>128</v>
      </c>
      <c r="B4" s="375" t="s">
        <v>180</v>
      </c>
      <c r="C4" s="91">
        <f>Classement!N24</f>
      </c>
      <c r="D4" s="219">
        <f>C5</f>
      </c>
      <c r="E4" s="103"/>
      <c r="F4" s="103"/>
      <c r="G4" s="103"/>
      <c r="H4" s="276"/>
      <c r="I4" s="92">
        <f aca="true" t="shared" si="0" ref="I4:I11">_xlfn.IFERROR(E4/F4,"")</f>
      </c>
      <c r="J4" s="90"/>
      <c r="K4" s="86"/>
      <c r="L4" s="86"/>
      <c r="M4" s="86"/>
      <c r="N4" s="86"/>
      <c r="O4" s="86"/>
      <c r="P4" s="86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24.75" customHeight="1">
      <c r="A5" s="371"/>
      <c r="B5" s="376"/>
      <c r="C5" s="93">
        <f>Classement!N27</f>
      </c>
      <c r="D5" s="220">
        <f>C4</f>
      </c>
      <c r="E5" s="104"/>
      <c r="F5" s="139">
        <f>IF(F4&lt;&gt;"",F4,"")</f>
      </c>
      <c r="G5" s="104"/>
      <c r="H5" s="139">
        <f>IF(H4&lt;&gt;"",2-H4,"")</f>
      </c>
      <c r="I5" s="94">
        <f t="shared" si="0"/>
      </c>
      <c r="J5" s="90"/>
      <c r="N5" s="86"/>
      <c r="O5" s="86"/>
      <c r="P5" s="86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</row>
    <row r="6" spans="1:27" ht="24.75" customHeight="1">
      <c r="A6" s="371"/>
      <c r="B6" s="377" t="s">
        <v>179</v>
      </c>
      <c r="C6" s="91">
        <f>Classement!N25</f>
      </c>
      <c r="D6" s="219">
        <f>C7</f>
      </c>
      <c r="E6" s="103"/>
      <c r="F6" s="103"/>
      <c r="G6" s="103"/>
      <c r="H6" s="276"/>
      <c r="I6" s="92">
        <f t="shared" si="0"/>
      </c>
      <c r="J6" s="90"/>
      <c r="N6" s="86"/>
      <c r="O6" s="86"/>
      <c r="P6" s="86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</row>
    <row r="7" spans="1:27" ht="24.75" customHeight="1">
      <c r="A7" s="372"/>
      <c r="B7" s="378"/>
      <c r="C7" s="93">
        <f>Classement!N26</f>
      </c>
      <c r="D7" s="220">
        <f>C6</f>
      </c>
      <c r="E7" s="104"/>
      <c r="F7" s="139">
        <f>IF(F6&lt;&gt;"",F6,"")</f>
      </c>
      <c r="G7" s="104"/>
      <c r="H7" s="139">
        <f>IF(H6&lt;&gt;"",2-H6,"")</f>
      </c>
      <c r="I7" s="94">
        <f t="shared" si="0"/>
      </c>
      <c r="J7" s="90"/>
      <c r="N7" s="86"/>
      <c r="O7" s="86"/>
      <c r="P7" s="86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</row>
    <row r="8" spans="1:27" ht="24.75" customHeight="1">
      <c r="A8" s="363" t="s">
        <v>129</v>
      </c>
      <c r="B8" s="366" t="s">
        <v>178</v>
      </c>
      <c r="C8" s="91">
        <f>Classement!N35</f>
      </c>
      <c r="D8" s="219">
        <f>C9</f>
      </c>
      <c r="E8" s="103"/>
      <c r="F8" s="103"/>
      <c r="G8" s="103"/>
      <c r="H8" s="276"/>
      <c r="I8" s="92">
        <f t="shared" si="0"/>
      </c>
      <c r="J8" s="90"/>
      <c r="K8" s="325" t="s">
        <v>134</v>
      </c>
      <c r="L8" s="326"/>
      <c r="M8" s="327"/>
      <c r="N8" s="86"/>
      <c r="O8" s="86"/>
      <c r="P8" s="86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7" ht="24.75" customHeight="1">
      <c r="A9" s="364"/>
      <c r="B9" s="367"/>
      <c r="C9" s="93">
        <f>Classement!N36</f>
      </c>
      <c r="D9" s="220">
        <f>C8</f>
      </c>
      <c r="E9" s="104"/>
      <c r="F9" s="139">
        <f>IF(F8&lt;&gt;"",F8,"")</f>
      </c>
      <c r="G9" s="104"/>
      <c r="H9" s="139">
        <f>IF(H8&lt;&gt;"",2-H8,"")</f>
      </c>
      <c r="I9" s="94">
        <f t="shared" si="0"/>
      </c>
      <c r="J9" s="90"/>
      <c r="K9" s="334" t="str">
        <f>IF(Participants!B7&lt;&gt;"",Participants!B7," ")</f>
        <v> </v>
      </c>
      <c r="L9" s="335"/>
      <c r="M9" s="336"/>
      <c r="N9" s="86"/>
      <c r="O9" s="86"/>
      <c r="P9" s="86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7" ht="24.75" customHeight="1">
      <c r="A10" s="364"/>
      <c r="B10" s="368" t="s">
        <v>177</v>
      </c>
      <c r="C10" s="91">
        <f>IF(Classement!N38&lt;&gt;"",Classement!N37,"")</f>
      </c>
      <c r="D10" s="219">
        <f>C11</f>
      </c>
      <c r="E10" s="103"/>
      <c r="F10" s="103"/>
      <c r="G10" s="103"/>
      <c r="H10" s="276"/>
      <c r="I10" s="92">
        <f t="shared" si="0"/>
      </c>
      <c r="J10" s="90"/>
      <c r="K10" s="331" t="s">
        <v>2</v>
      </c>
      <c r="L10" s="332"/>
      <c r="M10" s="333"/>
      <c r="N10" s="85"/>
      <c r="O10" s="86"/>
      <c r="P10" s="86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13" ht="24.75" customHeight="1">
      <c r="A11" s="365"/>
      <c r="B11" s="369"/>
      <c r="C11" s="93">
        <f>Classement!N38</f>
      </c>
      <c r="D11" s="220">
        <f>C10</f>
      </c>
      <c r="E11" s="104"/>
      <c r="F11" s="139">
        <f>IF(F10&lt;&gt;"",F10,"")</f>
      </c>
      <c r="G11" s="104"/>
      <c r="H11" s="139">
        <f>IF(H10&lt;&gt;"",2-H10,"")</f>
      </c>
      <c r="I11" s="94">
        <f t="shared" si="0"/>
      </c>
      <c r="K11" s="338" t="str">
        <f>IF(Participants!E5&lt;&gt;"",Participants!E5," ")</f>
        <v> </v>
      </c>
      <c r="L11" s="339"/>
      <c r="M11" s="340"/>
    </row>
    <row r="12" spans="8:18" ht="24.75" customHeight="1">
      <c r="H12" s="105"/>
      <c r="K12" s="331" t="s">
        <v>3</v>
      </c>
      <c r="L12" s="332"/>
      <c r="M12" s="333"/>
      <c r="O12" s="86"/>
      <c r="P12" s="86"/>
      <c r="Q12" s="90"/>
      <c r="R12" s="90"/>
    </row>
    <row r="13" spans="1:13" ht="24.75" customHeight="1">
      <c r="A13" s="370" t="s">
        <v>92</v>
      </c>
      <c r="B13" s="373" t="s">
        <v>130</v>
      </c>
      <c r="C13" s="91">
        <f>IF(AND(H4&lt;&gt;"",H5&lt;&gt;""),IF(H4&gt;H5,C4,C5),"")</f>
      </c>
      <c r="D13" s="219">
        <f>C14</f>
      </c>
      <c r="E13" s="103"/>
      <c r="F13" s="103"/>
      <c r="G13" s="103"/>
      <c r="H13" s="276"/>
      <c r="I13" s="92">
        <f aca="true" t="shared" si="1" ref="I13:I20">_xlfn.IFERROR(E13/F13,"")</f>
      </c>
      <c r="J13" s="82"/>
      <c r="K13" s="338" t="str">
        <f>IF(Participants!G5&lt;&gt;"",Participants!G5," ")</f>
        <v> </v>
      </c>
      <c r="L13" s="339"/>
      <c r="M13" s="340"/>
    </row>
    <row r="14" spans="1:13" ht="24.75" customHeight="1">
      <c r="A14" s="371"/>
      <c r="B14" s="374"/>
      <c r="C14" s="93">
        <f>IF(AND(H6&lt;&gt;"",H7&lt;&gt;""),IF(H6&gt;H7,C6,C7),"")</f>
      </c>
      <c r="D14" s="220">
        <f>C13</f>
      </c>
      <c r="E14" s="104"/>
      <c r="F14" s="139">
        <f>IF(F13&lt;&gt;"",F13,"")</f>
      </c>
      <c r="G14" s="104"/>
      <c r="H14" s="139">
        <f>IF(H13&lt;&gt;"",2-H13,"")</f>
      </c>
      <c r="I14" s="94">
        <f t="shared" si="1"/>
      </c>
      <c r="J14" s="82"/>
      <c r="K14" s="331" t="s">
        <v>1</v>
      </c>
      <c r="L14" s="332"/>
      <c r="M14" s="333"/>
    </row>
    <row r="15" spans="1:13" ht="24.75" customHeight="1">
      <c r="A15" s="371"/>
      <c r="B15" s="380" t="s">
        <v>132</v>
      </c>
      <c r="C15" s="91">
        <f>IF(AND(H4&lt;&gt;"",H5&lt;&gt;""),IF(H4&gt;H5,C5,C4),"")</f>
      </c>
      <c r="D15" s="219">
        <f>C16</f>
      </c>
      <c r="E15" s="103"/>
      <c r="F15" s="103"/>
      <c r="G15" s="103"/>
      <c r="H15" s="276"/>
      <c r="I15" s="92">
        <f t="shared" si="1"/>
      </c>
      <c r="J15" s="82"/>
      <c r="K15" s="328" t="str">
        <f>IF(Participants!D5&lt;&gt;"",Participants!D5," ")</f>
        <v> </v>
      </c>
      <c r="L15" s="329"/>
      <c r="M15" s="330"/>
    </row>
    <row r="16" spans="1:10" ht="24.75" customHeight="1">
      <c r="A16" s="372"/>
      <c r="B16" s="381"/>
      <c r="C16" s="93">
        <f>IF(AND(H6&lt;&gt;"",H7&lt;&gt;""),IF(H6&lt;H7,C6,C7),"")</f>
      </c>
      <c r="D16" s="220">
        <f>C15</f>
      </c>
      <c r="E16" s="104"/>
      <c r="F16" s="139">
        <f>IF(F15&lt;&gt;"",F15,"")</f>
      </c>
      <c r="G16" s="104"/>
      <c r="H16" s="139">
        <f>IF(H15&lt;&gt;"",2-H15,"")</f>
      </c>
      <c r="I16" s="94">
        <f t="shared" si="1"/>
      </c>
      <c r="J16" s="82"/>
    </row>
    <row r="17" spans="1:13" ht="24.75" customHeight="1">
      <c r="A17" s="363" t="s">
        <v>129</v>
      </c>
      <c r="B17" s="368" t="s">
        <v>133</v>
      </c>
      <c r="C17" s="91">
        <f>Classement!N31</f>
      </c>
      <c r="D17" s="219">
        <f>C18</f>
      </c>
      <c r="E17" s="103"/>
      <c r="F17" s="103"/>
      <c r="G17" s="103"/>
      <c r="H17" s="276"/>
      <c r="I17" s="92">
        <f t="shared" si="1"/>
      </c>
      <c r="J17" s="82"/>
      <c r="K17" s="344" t="s">
        <v>10</v>
      </c>
      <c r="L17" s="345"/>
      <c r="M17" s="346"/>
    </row>
    <row r="18" spans="1:13" ht="24.75" customHeight="1">
      <c r="A18" s="364"/>
      <c r="B18" s="369"/>
      <c r="C18" s="93">
        <f>Classement!N32</f>
      </c>
      <c r="D18" s="220">
        <f>C17</f>
      </c>
      <c r="E18" s="104"/>
      <c r="F18" s="139">
        <f>IF(F17&lt;&gt;"",F17,"")</f>
      </c>
      <c r="G18" s="104"/>
      <c r="H18" s="139">
        <f>IF(H17&lt;&gt;"",2-H17,"")</f>
      </c>
      <c r="I18" s="94">
        <f t="shared" si="1"/>
      </c>
      <c r="J18" s="82"/>
      <c r="K18" s="244" t="s">
        <v>197</v>
      </c>
      <c r="L18" s="245" t="s">
        <v>199</v>
      </c>
      <c r="M18" s="246"/>
    </row>
    <row r="19" spans="1:13" ht="30" customHeight="1">
      <c r="A19" s="364"/>
      <c r="B19" s="368" t="s">
        <v>131</v>
      </c>
      <c r="C19" s="91">
        <f>Classement!N33</f>
      </c>
      <c r="D19" s="219">
        <f>C20</f>
      </c>
      <c r="E19" s="103"/>
      <c r="F19" s="103"/>
      <c r="G19" s="103"/>
      <c r="H19" s="276"/>
      <c r="I19" s="92">
        <f t="shared" si="1"/>
      </c>
      <c r="J19" s="82"/>
      <c r="K19" s="250" t="s">
        <v>200</v>
      </c>
      <c r="L19" s="251" t="s">
        <v>227</v>
      </c>
      <c r="M19" s="252"/>
    </row>
    <row r="20" spans="1:27" s="82" customFormat="1" ht="30" customHeight="1">
      <c r="A20" s="365"/>
      <c r="B20" s="369"/>
      <c r="C20" s="93">
        <f>Classement!N34</f>
      </c>
      <c r="D20" s="220">
        <f>C19</f>
      </c>
      <c r="E20" s="104"/>
      <c r="F20" s="139">
        <f>IF(F19&lt;&gt;"",F19,"")</f>
      </c>
      <c r="G20" s="104"/>
      <c r="H20" s="139">
        <f>IF(H19&lt;&gt;"",2-H19,"")</f>
      </c>
      <c r="I20" s="94">
        <f t="shared" si="1"/>
      </c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</row>
    <row r="21" spans="1:27" s="82" customFormat="1" ht="19.5" customHeight="1">
      <c r="A21" s="87"/>
      <c r="B21" s="87"/>
      <c r="C21" s="87"/>
      <c r="D21" s="87"/>
      <c r="E21" s="87"/>
      <c r="F21" s="87"/>
      <c r="G21" s="87"/>
      <c r="H21" s="87"/>
      <c r="I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</row>
    <row r="22" spans="1:27" s="82" customFormat="1" ht="19.5" customHeight="1">
      <c r="A22" s="87"/>
      <c r="B22" s="87"/>
      <c r="C22" s="87"/>
      <c r="D22" s="87"/>
      <c r="E22" s="87"/>
      <c r="F22" s="87"/>
      <c r="G22" s="87"/>
      <c r="H22" s="87"/>
      <c r="I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</row>
    <row r="23" spans="1:27" s="82" customFormat="1" ht="19.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</row>
    <row r="24" spans="1:27" s="82" customFormat="1" ht="19.5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</row>
    <row r="25" spans="1:27" s="82" customFormat="1" ht="19.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</row>
    <row r="26" spans="1:27" s="82" customFormat="1" ht="19.5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</row>
    <row r="27" spans="1:27" s="82" customFormat="1" ht="19.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</row>
    <row r="28" spans="1:27" s="82" customFormat="1" ht="19.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</row>
    <row r="29" spans="1:27" s="82" customFormat="1" ht="19.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</row>
    <row r="30" spans="1:27" s="82" customFormat="1" ht="19.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</row>
    <row r="31" spans="1:27" s="82" customFormat="1" ht="19.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</row>
    <row r="32" spans="1:27" s="82" customFormat="1" ht="19.5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</row>
    <row r="33" spans="1:27" s="82" customFormat="1" ht="19.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</row>
    <row r="34" spans="1:27" s="82" customFormat="1" ht="19.5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</row>
    <row r="35" spans="1:27" s="82" customFormat="1" ht="19.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</row>
    <row r="36" ht="19.5" customHeight="1"/>
    <row r="37" ht="19.5" customHeight="1"/>
  </sheetData>
  <sheetProtection password="CA59" sheet="1" selectLockedCells="1"/>
  <mergeCells count="23">
    <mergeCell ref="K17:M17"/>
    <mergeCell ref="K14:M14"/>
    <mergeCell ref="B15:B16"/>
    <mergeCell ref="K9:M9"/>
    <mergeCell ref="K12:M12"/>
    <mergeCell ref="K13:M13"/>
    <mergeCell ref="K15:M15"/>
    <mergeCell ref="A1:N1"/>
    <mergeCell ref="B4:B5"/>
    <mergeCell ref="B6:B7"/>
    <mergeCell ref="B10:B11"/>
    <mergeCell ref="K11:M11"/>
    <mergeCell ref="A4:A7"/>
    <mergeCell ref="K8:M8"/>
    <mergeCell ref="K10:M10"/>
    <mergeCell ref="A3:B3"/>
    <mergeCell ref="A8:A11"/>
    <mergeCell ref="A17:A20"/>
    <mergeCell ref="B8:B9"/>
    <mergeCell ref="B17:B18"/>
    <mergeCell ref="A13:A16"/>
    <mergeCell ref="B19:B20"/>
    <mergeCell ref="B13:B14"/>
  </mergeCells>
  <dataValidations count="1">
    <dataValidation type="list" allowBlank="1" showInputMessage="1" showErrorMessage="1" promptTitle="Points de match" errorTitle="ATTENTION" error="Erreur de saisie !" sqref="H4 H10 H6 H8 H13 H19 H15 H17">
      <formula1>pt_final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ignoredErrors>
    <ignoredError sqref="F5 F14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/>
  <dimension ref="A1:AH325"/>
  <sheetViews>
    <sheetView showGridLines="0" showRowColHeaders="0" zoomScalePageLayoutView="0" workbookViewId="0" topLeftCell="A1">
      <selection activeCell="N8" sqref="N8"/>
    </sheetView>
  </sheetViews>
  <sheetFormatPr defaultColWidth="12" defaultRowHeight="12.75"/>
  <cols>
    <col min="1" max="1" width="20.33203125" style="135" customWidth="1"/>
    <col min="2" max="3" width="6.33203125" style="135" customWidth="1"/>
    <col min="4" max="4" width="5" style="135" customWidth="1"/>
    <col min="5" max="5" width="8.66015625" style="135" customWidth="1"/>
    <col min="6" max="6" width="7.33203125" style="135" customWidth="1"/>
    <col min="7" max="7" width="2.5" style="135" customWidth="1"/>
    <col min="8" max="8" width="20.33203125" style="135" customWidth="1"/>
    <col min="9" max="10" width="6.33203125" style="135" customWidth="1"/>
    <col min="11" max="11" width="5.16015625" style="135" customWidth="1"/>
    <col min="12" max="12" width="8.66015625" style="135" customWidth="1"/>
    <col min="13" max="13" width="7.5" style="135" customWidth="1"/>
    <col min="14" max="14" width="12" style="4" customWidth="1"/>
    <col min="15" max="20" width="8.33203125" style="4" hidden="1" customWidth="1"/>
    <col min="21" max="25" width="8.66015625" style="4" hidden="1" customWidth="1"/>
    <col min="26" max="28" width="6.16015625" style="4" hidden="1" customWidth="1"/>
    <col min="29" max="35" width="7.83203125" style="135" hidden="1" customWidth="1"/>
    <col min="36" max="37" width="12" style="135" hidden="1" customWidth="1"/>
    <col min="38" max="48" width="0" style="135" hidden="1" customWidth="1"/>
    <col min="49" max="16384" width="12" style="135" customWidth="1"/>
  </cols>
  <sheetData>
    <row r="1" spans="1:15" ht="33" customHeight="1">
      <c r="A1" s="409" t="s">
        <v>17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1"/>
      <c r="O1" s="4" t="s">
        <v>202</v>
      </c>
    </row>
    <row r="2" spans="1:13" ht="23.25" customHeight="1" thickBot="1">
      <c r="A2" s="412" t="s">
        <v>307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</row>
    <row r="3" spans="1:13" ht="6" customHeight="1">
      <c r="A3" s="23"/>
      <c r="B3" s="23"/>
      <c r="C3" s="23"/>
      <c r="D3" s="23"/>
      <c r="E3" s="23"/>
      <c r="F3" s="23"/>
      <c r="G3" s="23"/>
      <c r="H3" s="24"/>
      <c r="I3" s="25"/>
      <c r="J3" s="23"/>
      <c r="K3" s="26"/>
      <c r="L3" s="26"/>
      <c r="M3" s="26"/>
    </row>
    <row r="4" spans="1:13" ht="15.75" customHeight="1">
      <c r="A4" s="27" t="s">
        <v>18</v>
      </c>
      <c r="B4" s="415" t="str">
        <f>IF(Participants!K9&lt;&gt;"",Participants!K9," ")</f>
        <v> </v>
      </c>
      <c r="C4" s="415"/>
      <c r="D4" s="415"/>
      <c r="E4" s="415"/>
      <c r="F4" s="415"/>
      <c r="G4" s="28"/>
      <c r="H4" s="27" t="s">
        <v>19</v>
      </c>
      <c r="I4" s="404">
        <f>IF(Participants!D5="","",Participants!D5)</f>
      </c>
      <c r="J4" s="404"/>
      <c r="K4" s="404"/>
      <c r="L4" s="27" t="s">
        <v>73</v>
      </c>
      <c r="M4" s="107">
        <f>IF(Participants!F5="","",Participants!F5)</f>
      </c>
    </row>
    <row r="5" spans="1:13" ht="15.75" customHeight="1">
      <c r="A5" s="30"/>
      <c r="B5" s="4"/>
      <c r="C5" s="4"/>
      <c r="D5" s="4"/>
      <c r="E5" s="4"/>
      <c r="F5" s="4"/>
      <c r="G5" s="29"/>
      <c r="H5" s="27" t="s">
        <v>20</v>
      </c>
      <c r="I5" s="404">
        <f>IF(Participants!E5="","",Participants!E5)</f>
      </c>
      <c r="J5" s="404"/>
      <c r="K5" s="404"/>
      <c r="L5" s="404"/>
      <c r="M5" s="404"/>
    </row>
    <row r="6" spans="1:19" ht="15.75" customHeight="1">
      <c r="A6" s="30"/>
      <c r="B6" s="405" t="str">
        <f>IF(Participants!K10&lt;&gt;"",Participants!K10," ")</f>
        <v> </v>
      </c>
      <c r="C6" s="405"/>
      <c r="D6" s="405"/>
      <c r="E6" s="405"/>
      <c r="F6" s="405"/>
      <c r="G6" s="29"/>
      <c r="H6" s="27" t="s">
        <v>21</v>
      </c>
      <c r="I6" s="404">
        <f>IF(Participants!G5="","",Participants!G5)</f>
      </c>
      <c r="J6" s="404"/>
      <c r="K6" s="404"/>
      <c r="L6" s="404"/>
      <c r="M6" s="404"/>
      <c r="O6" s="4" t="s">
        <v>194</v>
      </c>
      <c r="Q6" s="4" t="s">
        <v>193</v>
      </c>
      <c r="R6" s="184"/>
      <c r="S6" s="4">
        <f>COUNTBLANK('Phase finale'!I13:I20)</f>
        <v>8</v>
      </c>
    </row>
    <row r="7" spans="1:13" ht="10.5" customHeight="1">
      <c r="A7" s="30"/>
      <c r="B7" s="405" t="str">
        <f>IF(Participants!K11&lt;&gt;"",Participants!K11," ")</f>
        <v> </v>
      </c>
      <c r="C7" s="405"/>
      <c r="D7" s="405"/>
      <c r="E7" s="405"/>
      <c r="F7" s="405"/>
      <c r="G7" s="29"/>
      <c r="H7" s="31"/>
      <c r="I7" s="4"/>
      <c r="J7" s="32"/>
      <c r="K7" s="30"/>
      <c r="L7" s="30"/>
      <c r="M7" s="30"/>
    </row>
    <row r="8" spans="1:13" ht="15.75" customHeight="1">
      <c r="A8" s="30"/>
      <c r="B8" s="405" t="str">
        <f>IF(Participants!K12&lt;&gt;"",Participants!K12," ")</f>
        <v> </v>
      </c>
      <c r="C8" s="405"/>
      <c r="D8" s="405"/>
      <c r="E8" s="405"/>
      <c r="F8" s="405"/>
      <c r="G8" s="29"/>
      <c r="H8" s="27" t="s">
        <v>22</v>
      </c>
      <c r="I8" s="408" t="str">
        <f>IF(Participants!B7&lt;&gt;"",Participants!B7," ")</f>
        <v> </v>
      </c>
      <c r="J8" s="408"/>
      <c r="K8" s="408"/>
      <c r="L8" s="408"/>
      <c r="M8" s="408"/>
    </row>
    <row r="9" spans="1:13" ht="9" customHeight="1">
      <c r="A9" s="34"/>
      <c r="B9" s="35"/>
      <c r="C9" s="35"/>
      <c r="D9" s="36"/>
      <c r="E9" s="36"/>
      <c r="F9" s="36"/>
      <c r="G9" s="36"/>
      <c r="H9" s="37"/>
      <c r="I9" s="34"/>
      <c r="J9" s="36"/>
      <c r="K9" s="36"/>
      <c r="L9" s="36"/>
      <c r="M9" s="36"/>
    </row>
    <row r="10" spans="1:13" ht="4.5" customHeight="1">
      <c r="A10" s="36"/>
      <c r="B10" s="36"/>
      <c r="C10" s="36"/>
      <c r="D10" s="36"/>
      <c r="E10" s="36"/>
      <c r="F10" s="36"/>
      <c r="G10" s="36"/>
      <c r="H10" s="37"/>
      <c r="I10" s="36"/>
      <c r="J10" s="36"/>
      <c r="K10" s="36"/>
      <c r="L10" s="36"/>
      <c r="M10" s="36"/>
    </row>
    <row r="11" spans="1:13" ht="12.75" customHeight="1">
      <c r="A11" s="38" t="s">
        <v>29</v>
      </c>
      <c r="B11" s="39"/>
      <c r="C11" s="402">
        <f>IF(Participants!D10="","",Participants!D10)</f>
      </c>
      <c r="D11" s="402"/>
      <c r="E11" s="402"/>
      <c r="F11" s="403"/>
      <c r="G11" s="40"/>
      <c r="H11" s="38" t="s">
        <v>30</v>
      </c>
      <c r="I11" s="108"/>
      <c r="J11" s="402">
        <f>IF(Participants!D14="","",Participants!D14)</f>
      </c>
      <c r="K11" s="402"/>
      <c r="L11" s="402"/>
      <c r="M11" s="403"/>
    </row>
    <row r="12" spans="1:25" ht="12.75" customHeight="1">
      <c r="A12" s="41" t="str">
        <f>IF(Participants!F10="","",Participants!F10)</f>
        <v> </v>
      </c>
      <c r="B12" s="42" t="s">
        <v>23</v>
      </c>
      <c r="C12" s="397" t="str">
        <f>IF(Participants!E10="","",Participants!E10)</f>
        <v> </v>
      </c>
      <c r="D12" s="397"/>
      <c r="E12" s="397"/>
      <c r="F12" s="398"/>
      <c r="G12" s="40"/>
      <c r="H12" s="109" t="str">
        <f>IF(Participants!F14="","",Participants!F14)</f>
        <v> </v>
      </c>
      <c r="I12" s="42" t="s">
        <v>23</v>
      </c>
      <c r="J12" s="399" t="str">
        <f>IF(Participants!E14="","",Participants!E14)</f>
        <v> </v>
      </c>
      <c r="K12" s="399"/>
      <c r="L12" s="399"/>
      <c r="M12" s="398"/>
      <c r="O12" s="392">
        <f>C11</f>
      </c>
      <c r="P12" s="393"/>
      <c r="Q12" s="393"/>
      <c r="R12" s="393"/>
      <c r="S12" s="394"/>
      <c r="U12" s="392">
        <f>J11</f>
      </c>
      <c r="V12" s="393"/>
      <c r="W12" s="393"/>
      <c r="X12" s="393"/>
      <c r="Y12" s="394"/>
    </row>
    <row r="13" spans="1:25" ht="16.5">
      <c r="A13" s="110"/>
      <c r="B13" s="111" t="s">
        <v>7</v>
      </c>
      <c r="C13" s="111" t="s">
        <v>8</v>
      </c>
      <c r="D13" s="111" t="s">
        <v>9</v>
      </c>
      <c r="E13" s="112" t="s">
        <v>11</v>
      </c>
      <c r="F13" s="102" t="s">
        <v>24</v>
      </c>
      <c r="G13" s="4"/>
      <c r="H13" s="113"/>
      <c r="I13" s="111" t="s">
        <v>7</v>
      </c>
      <c r="J13" s="111" t="s">
        <v>8</v>
      </c>
      <c r="K13" s="114" t="s">
        <v>9</v>
      </c>
      <c r="L13" s="112" t="s">
        <v>11</v>
      </c>
      <c r="M13" s="43" t="s">
        <v>24</v>
      </c>
      <c r="O13" s="218">
        <f>IF(F14&gt;1,E14,0)</f>
        <v>0</v>
      </c>
      <c r="P13" s="218">
        <f>IF(F15&gt;1,E15,0)</f>
        <v>0</v>
      </c>
      <c r="Q13" s="218">
        <f>IF(F16&gt;1,E16,0)</f>
        <v>0</v>
      </c>
      <c r="R13" s="218">
        <f>IF(F17&gt;1,E17,0)</f>
        <v>0</v>
      </c>
      <c r="S13" s="218">
        <f>IF(F18&gt;1,E18,0)</f>
        <v>0</v>
      </c>
      <c r="T13" s="81"/>
      <c r="U13" s="218">
        <f>IF(M14&gt;1,L14,0)</f>
        <v>0</v>
      </c>
      <c r="V13" s="218">
        <f>IF(M15&gt;1,L15,0)</f>
        <v>0</v>
      </c>
      <c r="W13" s="218">
        <f>IF(M16&gt;1,L16,0)</f>
        <v>0</v>
      </c>
      <c r="X13" s="218">
        <f>IF(M17&gt;1,L17,0)</f>
        <v>0</v>
      </c>
      <c r="Y13" s="218">
        <f>IF(M18&gt;1,L18,0)</f>
        <v>0</v>
      </c>
    </row>
    <row r="14" spans="1:13" ht="13.5">
      <c r="A14" s="182">
        <f>IF(C11='Phase de poule'!C4,'Phase de poule'!C5,IF(C11='Phase de poule'!C5,'Phase de poule'!C4," "))</f>
      </c>
      <c r="B14" s="131">
        <f>_xlfn.IFERROR(VLOOKUP(C11,tour_1,2,FALSE),"")</f>
        <v>0</v>
      </c>
      <c r="C14" s="131">
        <f>_xlfn.IFERROR(VLOOKUP(C11,tour_1,3,FALSE),0)</f>
        <v>0</v>
      </c>
      <c r="D14" s="131">
        <f>_xlfn.IFERROR(VLOOKUP(C11,tour_1,4,FALSE),0)</f>
        <v>0</v>
      </c>
      <c r="E14" s="101">
        <f>_xlfn.IFERROR(VLOOKUP(C11,tour_1,6,FALSE),"")</f>
      </c>
      <c r="F14" s="131">
        <f>_xlfn.IFERROR(VLOOKUP(C11,tour_1,5,FALSE),"")</f>
        <v>0</v>
      </c>
      <c r="G14" s="44"/>
      <c r="H14" s="134">
        <f>IF(J11='Phase de poule'!C6,'Phase de poule'!C7,IF(J11='Phase de poule'!C7,'Phase de poule'!C6," "))</f>
      </c>
      <c r="I14" s="131">
        <f>_xlfn.IFERROR(VLOOKUP(J11,tour_1,2,FALSE),"")</f>
        <v>0</v>
      </c>
      <c r="J14" s="131">
        <f>_xlfn.IFERROR(VLOOKUP(J11,tour_1,3,FALSE),"")</f>
        <v>0</v>
      </c>
      <c r="K14" s="131">
        <f>_xlfn.IFERROR(VLOOKUP(J11,tour_1,4,FALSE),"")</f>
        <v>0</v>
      </c>
      <c r="L14" s="101">
        <f>_xlfn.IFERROR(VLOOKUP(J11,tour_1,6,FALSE),"")</f>
      </c>
      <c r="M14" s="131">
        <f>_xlfn.IFERROR(VLOOKUP(J11,tour_1,5,FALSE),"")</f>
        <v>0</v>
      </c>
    </row>
    <row r="15" spans="1:13" ht="13.5">
      <c r="A15" s="182">
        <f>IF(C11='Phase de poule'!C13,'Phase de poule'!C14,IF(C11='Phase de poule'!C13,'Phase de poule'!C14," "))</f>
      </c>
      <c r="B15" s="131">
        <f>_xlfn.IFERROR(VLOOKUP(C11,tour_2,2,FALSE),"")</f>
        <v>0</v>
      </c>
      <c r="C15" s="131">
        <f>_xlfn.IFERROR(VLOOKUP(C11,tour_2,3,FALSE),0)</f>
        <v>0</v>
      </c>
      <c r="D15" s="131">
        <f>_xlfn.IFERROR(VLOOKUP(C11,tour_2,4,FALSE),0)</f>
        <v>0</v>
      </c>
      <c r="E15" s="101">
        <f>_xlfn.IFERROR(VLOOKUP(C11,tour_2,6,FALSE),"")</f>
      </c>
      <c r="F15" s="131">
        <f>_xlfn.IFERROR(VLOOKUP(C11,tour_2,5,FALSE),"")</f>
        <v>0</v>
      </c>
      <c r="G15" s="44"/>
      <c r="H15" s="134">
        <f>IF(J11='Phase de poule'!C15,'Phase de poule'!C16,IF(J11='Phase de poule'!C16,'Phase de poule'!C15," "))</f>
      </c>
      <c r="I15" s="131">
        <f>_xlfn.IFERROR(VLOOKUP(J11,tour_2,2,FALSE),"")</f>
        <v>0</v>
      </c>
      <c r="J15" s="131">
        <f>_xlfn.IFERROR(VLOOKUP(J11,tour_2,3,FALSE),"")</f>
        <v>0</v>
      </c>
      <c r="K15" s="131">
        <f>_xlfn.IFERROR(VLOOKUP(J11,tour_2,4,FALSE),"")</f>
        <v>0</v>
      </c>
      <c r="L15" s="101">
        <f>_xlfn.IFERROR(VLOOKUP(J11,tour_2,6,FALSE),"")</f>
      </c>
      <c r="M15" s="131">
        <f>_xlfn.IFERROR(VLOOKUP(J11,tour_2,5,FALSE),"")</f>
        <v>0</v>
      </c>
    </row>
    <row r="16" spans="1:13" ht="13.5">
      <c r="A16" s="182">
        <f>IF(C11='Phase de poule'!C22,'Phase de poule'!C23,IF(C11='Phase de poule'!C23,'Phase de poule'!C22," "))</f>
      </c>
      <c r="B16" s="131">
        <f>_xlfn.IFERROR(VLOOKUP(C11,tour_3,2,FALSE),"")</f>
        <v>0</v>
      </c>
      <c r="C16" s="131">
        <f>_xlfn.IFERROR(VLOOKUP(C11,tour_3,3,FALSE),0)</f>
        <v>0</v>
      </c>
      <c r="D16" s="131">
        <f>_xlfn.IFERROR(VLOOKUP(C11,tour_3,4,FALSE),0)</f>
        <v>0</v>
      </c>
      <c r="E16" s="101">
        <f>_xlfn.IFERROR(VLOOKUP(C11,tour_3,6,FALSE),"")</f>
      </c>
      <c r="F16" s="131">
        <f>_xlfn.IFERROR(VLOOKUP(C11,tour_3,5,FALSE),"")</f>
        <v>0</v>
      </c>
      <c r="G16" s="44"/>
      <c r="H16" s="134">
        <f>IF(J11='Phase de poule'!C24,'Phase de poule'!C25,IF(J11='Phase de poule'!C25,'Phase de poule'!C24," "))</f>
      </c>
      <c r="I16" s="131">
        <f>_xlfn.IFERROR(VLOOKUP(J11,tour_3,2,FALSE),"")</f>
        <v>0</v>
      </c>
      <c r="J16" s="131">
        <f>_xlfn.IFERROR(VLOOKUP(J11,tour_3,3,FALSE),"")</f>
        <v>0</v>
      </c>
      <c r="K16" s="131">
        <f>_xlfn.IFERROR(VLOOKUP(J11,tour_3,4,FALSE),"")</f>
        <v>0</v>
      </c>
      <c r="L16" s="101">
        <f>_xlfn.IFERROR(VLOOKUP(J11,tour_3,6,FALSE),"")</f>
      </c>
      <c r="M16" s="131">
        <f>_xlfn.IFERROR(VLOOKUP(J11,tour_3,5,FALSE),"")</f>
        <v>0</v>
      </c>
    </row>
    <row r="17" spans="1:13" ht="13.5">
      <c r="A17" s="182">
        <f>_xlfn.IFERROR(VLOOKUP(C11,tour_num_4,2,FALSE),"")</f>
      </c>
      <c r="B17" s="132">
        <f>_xlfn.IFERROR(VLOOKUP(C11,tour_num_4,3,FALSE),"")</f>
        <v>0</v>
      </c>
      <c r="C17" s="132">
        <f>_xlfn.IFERROR(VLOOKUP(C11,tour_num_4,4,FALSE),0)</f>
        <v>0</v>
      </c>
      <c r="D17" s="132">
        <f>_xlfn.IFERROR(VLOOKUP(C11,tour_num_4,5,FALSE),0)</f>
        <v>0</v>
      </c>
      <c r="E17" s="133">
        <f>_xlfn.IFERROR(VLOOKUP(C11,tour_num_4,7,FALSE),"")</f>
      </c>
      <c r="F17" s="131">
        <f>_xlfn.IFERROR(VLOOKUP(C11,tour_num_4,6,FALSE),"")</f>
        <v>0</v>
      </c>
      <c r="G17" s="44"/>
      <c r="H17" s="134">
        <f>_xlfn.IFERROR(VLOOKUP(J11,tour_num_4,2,FALSE),"")</f>
      </c>
      <c r="I17" s="132">
        <f>_xlfn.IFERROR(VLOOKUP(J11,tour_num_4,3,FALSE),"")</f>
        <v>0</v>
      </c>
      <c r="J17" s="132">
        <f>_xlfn.IFERROR(VLOOKUP(J11,tour_num_4,4,FALSE),"")</f>
        <v>0</v>
      </c>
      <c r="K17" s="132">
        <f>_xlfn.IFERROR(VLOOKUP(J11,tour_num_4,5,FALSE),"")</f>
        <v>0</v>
      </c>
      <c r="L17" s="133">
        <f>_xlfn.IFERROR(VLOOKUP(J11,tour_num_4,7,FALSE),"")</f>
      </c>
      <c r="M17" s="131">
        <f>_xlfn.IFERROR(VLOOKUP(J11,tour_num_4,6,FALSE),"")</f>
        <v>0</v>
      </c>
    </row>
    <row r="18" spans="1:21" ht="13.5">
      <c r="A18" s="182">
        <f>_xlfn.IFERROR(VLOOKUP(C11,tour_num_5,2,FALSE),"")</f>
      </c>
      <c r="B18" s="132">
        <f>_xlfn.IFERROR(VLOOKUP(C11,tour_num_5,3,FALSE),"")</f>
        <v>0</v>
      </c>
      <c r="C18" s="132">
        <f>_xlfn.IFERROR(VLOOKUP(C11,tour_num_5,4,FALSE),0)</f>
        <v>0</v>
      </c>
      <c r="D18" s="132">
        <f>_xlfn.IFERROR(VLOOKUP(C11,tour_num_5,5,FALSE),0)</f>
        <v>0</v>
      </c>
      <c r="E18" s="133">
        <f>_xlfn.IFERROR(VLOOKUP(C11,tour_num_5,7,FALSE),"")</f>
      </c>
      <c r="F18" s="131">
        <f>_xlfn.IFERROR(VLOOKUP(C11,tour_num_5,6,FALSE),"")</f>
        <v>0</v>
      </c>
      <c r="G18" s="44"/>
      <c r="H18" s="134">
        <f>_xlfn.IFERROR(VLOOKUP(J11,tour_num_5,2,FALSE),"")</f>
      </c>
      <c r="I18" s="132">
        <f>_xlfn.IFERROR(VLOOKUP(J11,tour_num_5,3,FALSE),"")</f>
        <v>0</v>
      </c>
      <c r="J18" s="132">
        <f>_xlfn.IFERROR(VLOOKUP(J11,tour_num_5,4,FALSE),"")</f>
        <v>0</v>
      </c>
      <c r="K18" s="132">
        <f>_xlfn.IFERROR(VLOOKUP(J11,tour_num_5,5,FALSE),"")</f>
        <v>0</v>
      </c>
      <c r="L18" s="133">
        <f>_xlfn.IFERROR(VLOOKUP(J11,tour_num_5,7,FALSE),"")</f>
      </c>
      <c r="M18" s="131">
        <f>_xlfn.IFERROR(VLOOKUP(J11,tour_num_5,6,FALSE),"")</f>
        <v>0</v>
      </c>
      <c r="U18" s="136"/>
    </row>
    <row r="19" spans="1:13" ht="3.75" customHeight="1">
      <c r="A19" s="115"/>
      <c r="B19" s="116"/>
      <c r="C19" s="116"/>
      <c r="D19" s="116"/>
      <c r="E19" s="45"/>
      <c r="F19" s="130"/>
      <c r="G19" s="118"/>
      <c r="H19" s="4"/>
      <c r="I19" s="119"/>
      <c r="J19" s="120"/>
      <c r="K19" s="120"/>
      <c r="L19" s="121"/>
      <c r="M19" s="122"/>
    </row>
    <row r="20" spans="1:13" ht="13.5">
      <c r="A20" s="46" t="s">
        <v>25</v>
      </c>
      <c r="B20" s="280">
        <f>SUM(B14:B18)</f>
        <v>0</v>
      </c>
      <c r="C20" s="280">
        <f>SUM(C14:C18)</f>
        <v>0</v>
      </c>
      <c r="D20" s="280">
        <f>MAX(D14:D18)</f>
        <v>0</v>
      </c>
      <c r="E20" s="281">
        <f>IF(C20&gt;0,B20/C20,0)</f>
        <v>0</v>
      </c>
      <c r="F20" s="282">
        <f>SUM(F14:F18)</f>
        <v>0</v>
      </c>
      <c r="G20" s="44"/>
      <c r="H20" s="46" t="s">
        <v>25</v>
      </c>
      <c r="I20" s="280">
        <f>SUM(I14:I18)</f>
        <v>0</v>
      </c>
      <c r="J20" s="280">
        <f>SUM(J14:J18)</f>
        <v>0</v>
      </c>
      <c r="K20" s="280">
        <f>MAX(K14:K18)</f>
        <v>0</v>
      </c>
      <c r="L20" s="281">
        <f>IF(J20&gt;0,I20/J20,0)</f>
        <v>0</v>
      </c>
      <c r="M20" s="282">
        <f>SUM(M14:M18)</f>
        <v>0</v>
      </c>
    </row>
    <row r="21" spans="1:13" ht="5.25" customHeight="1">
      <c r="A21" s="47"/>
      <c r="B21" s="33"/>
      <c r="C21" s="33"/>
      <c r="D21" s="28"/>
      <c r="E21" s="33"/>
      <c r="F21" s="48"/>
      <c r="G21" s="49"/>
      <c r="H21" s="47"/>
      <c r="I21" s="33"/>
      <c r="J21" s="33"/>
      <c r="K21" s="28"/>
      <c r="L21" s="33"/>
      <c r="M21" s="48"/>
    </row>
    <row r="22" spans="1:13" ht="13.5">
      <c r="A22" s="50" t="s">
        <v>228</v>
      </c>
      <c r="B22" s="284">
        <f>IF(Participants!G10&lt;&gt;"",Participants!G10,"")</f>
      </c>
      <c r="C22" s="406" t="s">
        <v>27</v>
      </c>
      <c r="D22" s="407"/>
      <c r="E22" s="407"/>
      <c r="F22" s="52">
        <f>MAX(O13:S13)</f>
        <v>0</v>
      </c>
      <c r="G22" s="53"/>
      <c r="H22" s="50" t="s">
        <v>228</v>
      </c>
      <c r="I22" s="284">
        <f>IF(Participants!G14&lt;&gt;"",Participants!G14,"")</f>
      </c>
      <c r="J22" s="406" t="s">
        <v>27</v>
      </c>
      <c r="K22" s="407"/>
      <c r="L22" s="407"/>
      <c r="M22" s="52">
        <f>MAX(U13:Y13)</f>
        <v>0</v>
      </c>
    </row>
    <row r="23" spans="1:13" ht="13.5">
      <c r="A23" s="50" t="s">
        <v>300</v>
      </c>
      <c r="B23" s="284">
        <f>F20</f>
        <v>0</v>
      </c>
      <c r="C23" s="283" t="s">
        <v>299</v>
      </c>
      <c r="D23" s="274">
        <f>IF($S$6=0,_xlfn.IFERROR(VLOOKUP(C11,classement,4,FALSE),""),0)</f>
        <v>0</v>
      </c>
      <c r="E23" s="30"/>
      <c r="F23" s="123"/>
      <c r="G23" s="123"/>
      <c r="H23" s="50" t="s">
        <v>300</v>
      </c>
      <c r="I23" s="284">
        <f>M20</f>
        <v>0</v>
      </c>
      <c r="J23" s="283" t="s">
        <v>299</v>
      </c>
      <c r="K23" s="274">
        <f>IF($S$6=0,_xlfn.IFERROR(VLOOKUP(J11,classement,4,FALSE),""),0)</f>
        <v>0</v>
      </c>
      <c r="L23" s="30"/>
      <c r="M23" s="123"/>
    </row>
    <row r="24" spans="1:13" ht="13.5">
      <c r="A24" s="50" t="s">
        <v>26</v>
      </c>
      <c r="B24" s="284">
        <f>IF($S$6=0,_xlfn.IFERROR(VLOOKUP(C11,classement,5,FALSE),0),"")</f>
      </c>
      <c r="C24" s="54" t="s">
        <v>28</v>
      </c>
      <c r="D24" s="51"/>
      <c r="E24" s="29"/>
      <c r="F24" s="55"/>
      <c r="G24" s="55"/>
      <c r="H24" s="50" t="s">
        <v>26</v>
      </c>
      <c r="I24" s="284">
        <f>IF($S$6=0,_xlfn.IFERROR(VLOOKUP(J11,classement,5,FALSE),0),"")</f>
      </c>
      <c r="J24" s="54" t="s">
        <v>28</v>
      </c>
      <c r="K24" s="51"/>
      <c r="L24" s="29"/>
      <c r="M24" s="55"/>
    </row>
    <row r="25" spans="1:13" ht="12.75">
      <c r="A25" s="56" t="s">
        <v>229</v>
      </c>
      <c r="B25" s="275">
        <f>SUM(B22,B24,F20)</f>
        <v>0</v>
      </c>
      <c r="C25" s="57"/>
      <c r="D25" s="124"/>
      <c r="E25" s="124"/>
      <c r="F25" s="125"/>
      <c r="G25" s="126"/>
      <c r="H25" s="56" t="s">
        <v>229</v>
      </c>
      <c r="I25" s="275">
        <f>SUM(I22,I24,M20)</f>
        <v>0</v>
      </c>
      <c r="J25" s="57"/>
      <c r="K25" s="124"/>
      <c r="L25" s="124"/>
      <c r="M25" s="125"/>
    </row>
    <row r="26" spans="1:13" ht="12.75" customHeight="1">
      <c r="A26" s="58"/>
      <c r="B26" s="36"/>
      <c r="C26" s="36"/>
      <c r="D26" s="36"/>
      <c r="E26" s="36"/>
      <c r="F26" s="36"/>
      <c r="G26" s="36"/>
      <c r="H26" s="37"/>
      <c r="I26" s="34"/>
      <c r="J26" s="36"/>
      <c r="K26" s="36"/>
      <c r="L26" s="36"/>
      <c r="M26" s="36"/>
    </row>
    <row r="27" spans="1:13" ht="12.75">
      <c r="A27" s="38" t="s">
        <v>36</v>
      </c>
      <c r="B27" s="39"/>
      <c r="C27" s="402">
        <f>IF(Participants!D11="","",Participants!D11)</f>
      </c>
      <c r="D27" s="402"/>
      <c r="E27" s="402"/>
      <c r="F27" s="403"/>
      <c r="G27" s="40"/>
      <c r="H27" s="38" t="s">
        <v>38</v>
      </c>
      <c r="I27" s="108"/>
      <c r="J27" s="402">
        <f>IF(Participants!D15="","",Participants!D15)</f>
      </c>
      <c r="K27" s="402"/>
      <c r="L27" s="402"/>
      <c r="M27" s="403"/>
    </row>
    <row r="28" spans="1:25" ht="12.75">
      <c r="A28" s="41" t="str">
        <f>IF(Participants!F11="","",Participants!F11)</f>
        <v> </v>
      </c>
      <c r="B28" s="42" t="s">
        <v>23</v>
      </c>
      <c r="C28" s="397" t="str">
        <f>IF(Participants!E11="","",Participants!E11)</f>
        <v> </v>
      </c>
      <c r="D28" s="397"/>
      <c r="E28" s="397"/>
      <c r="F28" s="398"/>
      <c r="G28" s="40"/>
      <c r="H28" s="109" t="str">
        <f>IF(Participants!F15="","",Participants!F15)</f>
        <v> </v>
      </c>
      <c r="I28" s="42" t="s">
        <v>23</v>
      </c>
      <c r="J28" s="399" t="str">
        <f>IF(Participants!E15="","",Participants!E15)</f>
        <v> </v>
      </c>
      <c r="K28" s="399"/>
      <c r="L28" s="399"/>
      <c r="M28" s="398"/>
      <c r="O28" s="392">
        <f>C27</f>
      </c>
      <c r="P28" s="393"/>
      <c r="Q28" s="393"/>
      <c r="R28" s="393"/>
      <c r="S28" s="394"/>
      <c r="U28" s="392">
        <f>J27</f>
      </c>
      <c r="V28" s="393"/>
      <c r="W28" s="393"/>
      <c r="X28" s="393"/>
      <c r="Y28" s="394"/>
    </row>
    <row r="29" spans="1:25" ht="16.5">
      <c r="A29" s="110"/>
      <c r="B29" s="111" t="s">
        <v>7</v>
      </c>
      <c r="C29" s="111" t="s">
        <v>8</v>
      </c>
      <c r="D29" s="111" t="s">
        <v>9</v>
      </c>
      <c r="E29" s="112" t="s">
        <v>11</v>
      </c>
      <c r="F29" s="102" t="s">
        <v>24</v>
      </c>
      <c r="G29" s="127"/>
      <c r="H29" s="115"/>
      <c r="I29" s="111" t="s">
        <v>7</v>
      </c>
      <c r="J29" s="111" t="s">
        <v>8</v>
      </c>
      <c r="K29" s="114" t="s">
        <v>9</v>
      </c>
      <c r="L29" s="112" t="s">
        <v>11</v>
      </c>
      <c r="M29" s="43" t="s">
        <v>24</v>
      </c>
      <c r="O29" s="218">
        <f>IF(F30&gt;1,E30,0)</f>
        <v>0</v>
      </c>
      <c r="P29" s="218">
        <f>IF(F31&gt;1,E31,0)</f>
        <v>0</v>
      </c>
      <c r="Q29" s="218">
        <f>IF(F32&gt;1,E32,0)</f>
        <v>0</v>
      </c>
      <c r="R29" s="218">
        <f>IF(F33&gt;1,E33,0)</f>
        <v>0</v>
      </c>
      <c r="S29" s="218">
        <f>IF(F34&gt;1,E34,0)</f>
        <v>0</v>
      </c>
      <c r="T29" s="81"/>
      <c r="U29" s="218">
        <f>IF(M30&gt;1,L30,0)</f>
        <v>0</v>
      </c>
      <c r="V29" s="218">
        <f>IF(M31&gt;1,L31,0)</f>
        <v>0</v>
      </c>
      <c r="W29" s="218">
        <f>IF(M32&gt;1,L32,0)</f>
        <v>0</v>
      </c>
      <c r="X29" s="218">
        <f>IF(M33&gt;1,L33,0)</f>
        <v>0</v>
      </c>
      <c r="Y29" s="218">
        <f>IF(M34&gt;1,L34,0)</f>
        <v>0</v>
      </c>
    </row>
    <row r="30" spans="1:13" ht="13.5">
      <c r="A30" s="182">
        <f>IF(C27='Phase de poule'!C4,'Phase de poule'!C5,IF(C27='Phase de poule'!C5,'Phase de poule'!C4," "))</f>
      </c>
      <c r="B30" s="131">
        <f>_xlfn.IFERROR(VLOOKUP(C27,tour_1,2,FALSE),"")</f>
        <v>0</v>
      </c>
      <c r="C30" s="131">
        <f>_xlfn.IFERROR(VLOOKUP(C27,tour_1,3,FALSE),"")</f>
        <v>0</v>
      </c>
      <c r="D30" s="131">
        <f>_xlfn.IFERROR(VLOOKUP(C27,tour_1,4,FALSE),"")</f>
        <v>0</v>
      </c>
      <c r="E30" s="101">
        <f>_xlfn.IFERROR(VLOOKUP(C27,tour_1,6,FALSE),"")</f>
      </c>
      <c r="F30" s="131">
        <f>_xlfn.IFERROR(VLOOKUP(C27,tour_1,5,FALSE),"")</f>
        <v>0</v>
      </c>
      <c r="G30" s="44"/>
      <c r="H30" s="134">
        <f>IF(J27='Phase de poule'!C6,'Phase de poule'!C7,IF(J27='Phase de poule'!C7,'Phase de poule'!C6," "))</f>
      </c>
      <c r="I30" s="131">
        <f>_xlfn.IFERROR(VLOOKUP(J27,tour_1,2,FALSE),"")</f>
        <v>0</v>
      </c>
      <c r="J30" s="131">
        <f>_xlfn.IFERROR(VLOOKUP(J27,tour_1,3,FALSE),"")</f>
        <v>0</v>
      </c>
      <c r="K30" s="131">
        <f>_xlfn.IFERROR(VLOOKUP(J27,tour_1,4,FALSE),"")</f>
        <v>0</v>
      </c>
      <c r="L30" s="101">
        <f>_xlfn.IFERROR(VLOOKUP(J27,tour_1,6,FALSE),"")</f>
      </c>
      <c r="M30" s="131">
        <f>_xlfn.IFERROR(VLOOKUP(J27,tour_1,5,FALSE),"")</f>
        <v>0</v>
      </c>
    </row>
    <row r="31" spans="1:13" ht="12.75" customHeight="1">
      <c r="A31" s="182">
        <f>IF(C27='Phase de poule'!C13,'Phase de poule'!C14,IF(C27='Phase de poule'!C14,'Phase de poule'!C13," "))</f>
      </c>
      <c r="B31" s="131">
        <f>_xlfn.IFERROR(VLOOKUP(C27,tour_2,2,FALSE),"")</f>
        <v>0</v>
      </c>
      <c r="C31" s="131">
        <f>_xlfn.IFERROR(VLOOKUP(C27,tour_2,3,FALSE),"")</f>
        <v>0</v>
      </c>
      <c r="D31" s="131">
        <f>_xlfn.IFERROR(VLOOKUP(C27,tour_2,4,FALSE),"")</f>
        <v>0</v>
      </c>
      <c r="E31" s="101">
        <f>_xlfn.IFERROR(VLOOKUP(C27,tour_2,6,FALSE),"")</f>
      </c>
      <c r="F31" s="131">
        <f>_xlfn.IFERROR(VLOOKUP(C27,tour_2,5,FALSE),"")</f>
        <v>0</v>
      </c>
      <c r="G31" s="44"/>
      <c r="H31" s="134">
        <f>IF(J27='Phase de poule'!C15,'Phase de poule'!C16,IF(J27='Phase de poule'!C16,'Phase de poule'!C15," "))</f>
      </c>
      <c r="I31" s="131">
        <f>_xlfn.IFERROR(VLOOKUP(J27,tour_2,2,FALSE),"")</f>
        <v>0</v>
      </c>
      <c r="J31" s="131">
        <f>_xlfn.IFERROR(VLOOKUP(J27,tour_2,3,FALSE),"")</f>
        <v>0</v>
      </c>
      <c r="K31" s="131">
        <f>_xlfn.IFERROR(VLOOKUP(J27,tour_2,4,FALSE),"")</f>
        <v>0</v>
      </c>
      <c r="L31" s="101">
        <f>_xlfn.IFERROR(VLOOKUP(J27,tour_2,6,FALSE),"")</f>
      </c>
      <c r="M31" s="131">
        <f>_xlfn.IFERROR(VLOOKUP(J27,tour_2,5,FALSE),"")</f>
        <v>0</v>
      </c>
    </row>
    <row r="32" spans="1:13" ht="13.5">
      <c r="A32" s="182">
        <f>IF(C27='Phase de poule'!C22,'Phase de poule'!C23,IF(C27='Phase de poule'!C23,'Phase de poule'!C22," "))</f>
      </c>
      <c r="B32" s="131">
        <f>_xlfn.IFERROR(VLOOKUP(C27,tour_3,2,FALSE),"")</f>
        <v>0</v>
      </c>
      <c r="C32" s="131">
        <f>_xlfn.IFERROR(VLOOKUP(C27,tour_3,3,FALSE),"")</f>
        <v>0</v>
      </c>
      <c r="D32" s="131">
        <f>_xlfn.IFERROR(VLOOKUP(C27,tour_3,4,FALSE),"")</f>
        <v>0</v>
      </c>
      <c r="E32" s="101">
        <f>_xlfn.IFERROR(VLOOKUP(C27,tour_3,6,FALSE),"")</f>
      </c>
      <c r="F32" s="131">
        <f>_xlfn.IFERROR(VLOOKUP(C27,tour_3,5,FALSE),"")</f>
        <v>0</v>
      </c>
      <c r="G32" s="44"/>
      <c r="H32" s="134">
        <f>IF(J27='Phase de poule'!C24,'Phase de poule'!C25,IF(J27='Phase de poule'!C25,'Phase de poule'!C24," "))</f>
      </c>
      <c r="I32" s="131">
        <f>_xlfn.IFERROR(VLOOKUP(J27,tour_3,2,FALSE),"")</f>
        <v>0</v>
      </c>
      <c r="J32" s="131">
        <f>_xlfn.IFERROR(VLOOKUP(J27,tour_3,3,FALSE),"")</f>
        <v>0</v>
      </c>
      <c r="K32" s="131">
        <f>_xlfn.IFERROR(VLOOKUP(J27,tour_3,4,FALSE),"")</f>
        <v>0</v>
      </c>
      <c r="L32" s="101">
        <f>_xlfn.IFERROR(VLOOKUP(J27,tour_3,6,FALSE),"")</f>
      </c>
      <c r="M32" s="131">
        <f>_xlfn.IFERROR(VLOOKUP(J27,tour_3,5,FALSE),"")</f>
        <v>0</v>
      </c>
    </row>
    <row r="33" spans="1:13" ht="13.5">
      <c r="A33" s="182">
        <f>_xlfn.IFERROR(VLOOKUP(C27,tour_num_4,2,FALSE),"")</f>
      </c>
      <c r="B33" s="132">
        <f>_xlfn.IFERROR(VLOOKUP(C27,tour_num_4,3,FALSE),"")</f>
        <v>0</v>
      </c>
      <c r="C33" s="132">
        <f>_xlfn.IFERROR(VLOOKUP(C27,tour_num_4,4,FALSE),"")</f>
        <v>0</v>
      </c>
      <c r="D33" s="132">
        <f>_xlfn.IFERROR(VLOOKUP(C27,tour_num_4,5,FALSE),"")</f>
        <v>0</v>
      </c>
      <c r="E33" s="133">
        <f>_xlfn.IFERROR(VLOOKUP(C27,tour_num_4,7,FALSE),"")</f>
      </c>
      <c r="F33" s="131">
        <f>_xlfn.IFERROR(VLOOKUP(C27,tour_num_4,6,FALSE),"")</f>
        <v>0</v>
      </c>
      <c r="G33" s="44"/>
      <c r="H33" s="134">
        <f>_xlfn.IFERROR(VLOOKUP(J27,tour_num_4,2,FALSE),"")</f>
      </c>
      <c r="I33" s="132">
        <f>_xlfn.IFERROR(VLOOKUP(J27,tour_num_4,3,FALSE),"")</f>
        <v>0</v>
      </c>
      <c r="J33" s="132">
        <f>_xlfn.IFERROR(VLOOKUP(J27,tour_num_4,4,FALSE),"")</f>
        <v>0</v>
      </c>
      <c r="K33" s="132">
        <f>_xlfn.IFERROR(VLOOKUP(J27,tour_num_4,5,FALSE),"")</f>
        <v>0</v>
      </c>
      <c r="L33" s="133">
        <f>_xlfn.IFERROR(VLOOKUP(J27,tour_num_4,7,FALSE),"")</f>
      </c>
      <c r="M33" s="131">
        <f>_xlfn.IFERROR(VLOOKUP(J27,tour_num_4,6,FALSE),"")</f>
        <v>0</v>
      </c>
    </row>
    <row r="34" spans="1:13" ht="13.5">
      <c r="A34" s="182">
        <f>_xlfn.IFERROR(VLOOKUP(C27,tour_num_5,2,FALSE),"")</f>
      </c>
      <c r="B34" s="132">
        <f>_xlfn.IFERROR(VLOOKUP(C27,tour_num_5,3,FALSE),"")</f>
        <v>0</v>
      </c>
      <c r="C34" s="132">
        <f>_xlfn.IFERROR(VLOOKUP(C27,tour_num_5,4,FALSE),"")</f>
        <v>0</v>
      </c>
      <c r="D34" s="132">
        <f>_xlfn.IFERROR(VLOOKUP(C27,tour_num_5,5,FALSE),"")</f>
        <v>0</v>
      </c>
      <c r="E34" s="133">
        <f>_xlfn.IFERROR(VLOOKUP(C27,tour_num_5,7,FALSE),"")</f>
      </c>
      <c r="F34" s="131">
        <f>_xlfn.IFERROR(VLOOKUP(C27,tour_num_5,6,FALSE),"")</f>
        <v>0</v>
      </c>
      <c r="G34" s="44"/>
      <c r="H34" s="134">
        <f>_xlfn.IFERROR(VLOOKUP(J27,tour_num_5,2,FALSE),"")</f>
      </c>
      <c r="I34" s="132">
        <f>_xlfn.IFERROR(VLOOKUP(J27,tour_num_5,3,FALSE),"")</f>
        <v>0</v>
      </c>
      <c r="J34" s="132">
        <f>_xlfn.IFERROR(VLOOKUP(J27,tour_num_5,4,FALSE),"")</f>
        <v>0</v>
      </c>
      <c r="K34" s="132">
        <f>_xlfn.IFERROR(VLOOKUP(J27,tour_num_5,5,FALSE),"")</f>
        <v>0</v>
      </c>
      <c r="L34" s="133">
        <f>_xlfn.IFERROR(VLOOKUP(J27,tour_num_5,7,FALSE),"")</f>
      </c>
      <c r="M34" s="131">
        <f>_xlfn.IFERROR(VLOOKUP(J27,tour_num_5,6,FALSE),"")</f>
        <v>0</v>
      </c>
    </row>
    <row r="35" spans="1:13" ht="3.75" customHeight="1">
      <c r="A35" s="60"/>
      <c r="B35" s="61"/>
      <c r="C35" s="61"/>
      <c r="D35" s="62"/>
      <c r="E35" s="63"/>
      <c r="F35" s="59"/>
      <c r="G35" s="64"/>
      <c r="H35" s="65"/>
      <c r="I35" s="66"/>
      <c r="J35" s="67"/>
      <c r="K35" s="67"/>
      <c r="L35" s="68"/>
      <c r="M35" s="69"/>
    </row>
    <row r="36" spans="1:13" ht="13.5">
      <c r="A36" s="46" t="s">
        <v>25</v>
      </c>
      <c r="B36" s="280">
        <f>SUM(B30:B34)</f>
        <v>0</v>
      </c>
      <c r="C36" s="280">
        <f>SUM(C30:C34)</f>
        <v>0</v>
      </c>
      <c r="D36" s="280">
        <f>MAX(D30:D34)</f>
        <v>0</v>
      </c>
      <c r="E36" s="281">
        <f>IF(C36&gt;0,B36/C36,0)</f>
        <v>0</v>
      </c>
      <c r="F36" s="282">
        <f>SUM(F30:F34)</f>
        <v>0</v>
      </c>
      <c r="G36" s="44"/>
      <c r="H36" s="46" t="s">
        <v>25</v>
      </c>
      <c r="I36" s="280">
        <f>SUM(I30:I34)</f>
        <v>0</v>
      </c>
      <c r="J36" s="280">
        <f>SUM(J30:J34)</f>
        <v>0</v>
      </c>
      <c r="K36" s="280">
        <f>MAX(K30:K34)</f>
        <v>0</v>
      </c>
      <c r="L36" s="281">
        <f>IF(J36&gt;0,I36/J36,0)</f>
        <v>0</v>
      </c>
      <c r="M36" s="282">
        <f>SUM(M30:M34)</f>
        <v>0</v>
      </c>
    </row>
    <row r="37" spans="1:13" ht="5.25" customHeight="1">
      <c r="A37" s="47"/>
      <c r="B37" s="33"/>
      <c r="C37" s="33"/>
      <c r="D37" s="28"/>
      <c r="E37" s="33"/>
      <c r="F37" s="48"/>
      <c r="G37" s="49"/>
      <c r="H37" s="47"/>
      <c r="I37" s="33"/>
      <c r="J37" s="33"/>
      <c r="K37" s="28"/>
      <c r="L37" s="33"/>
      <c r="M37" s="48"/>
    </row>
    <row r="38" spans="1:13" ht="13.5">
      <c r="A38" s="50" t="s">
        <v>228</v>
      </c>
      <c r="B38" s="284">
        <f>IF(Participants!G11&lt;&gt;"",Participants!G11,"")</f>
      </c>
      <c r="C38" s="406" t="s">
        <v>27</v>
      </c>
      <c r="D38" s="407"/>
      <c r="E38" s="407"/>
      <c r="F38" s="52">
        <f>MAX(O29:S29)</f>
        <v>0</v>
      </c>
      <c r="G38" s="53"/>
      <c r="H38" s="50" t="s">
        <v>228</v>
      </c>
      <c r="I38" s="284">
        <f>IF(Participants!G15&lt;&gt;"",Participants!G15,"")</f>
      </c>
      <c r="J38" s="406" t="s">
        <v>27</v>
      </c>
      <c r="K38" s="407"/>
      <c r="L38" s="407"/>
      <c r="M38" s="52">
        <f>MAX(V29:Z29)</f>
        <v>0</v>
      </c>
    </row>
    <row r="39" spans="1:13" ht="13.5">
      <c r="A39" s="50" t="s">
        <v>300</v>
      </c>
      <c r="B39" s="284">
        <f>F36</f>
        <v>0</v>
      </c>
      <c r="C39" s="283" t="s">
        <v>299</v>
      </c>
      <c r="D39" s="274">
        <f>IF($S$6=0,_xlfn.IFERROR(VLOOKUP(C27,classement,4,FALSE),""),0)</f>
        <v>0</v>
      </c>
      <c r="E39" s="30"/>
      <c r="F39" s="123"/>
      <c r="G39" s="123"/>
      <c r="H39" s="50" t="s">
        <v>300</v>
      </c>
      <c r="I39" s="284">
        <f>M36</f>
        <v>0</v>
      </c>
      <c r="J39" s="283" t="s">
        <v>299</v>
      </c>
      <c r="K39" s="274">
        <f>IF($S$6=0,_xlfn.IFERROR(VLOOKUP(J27,classement,4,FALSE),""),0)</f>
        <v>0</v>
      </c>
      <c r="L39" s="30"/>
      <c r="M39" s="123"/>
    </row>
    <row r="40" spans="1:13" ht="13.5">
      <c r="A40" s="50" t="s">
        <v>26</v>
      </c>
      <c r="B40" s="284">
        <f>IF($S$6=0,_xlfn.IFERROR(VLOOKUP(C27,classement,5,FALSE),0),"")</f>
      </c>
      <c r="C40" s="54" t="s">
        <v>28</v>
      </c>
      <c r="D40" s="51"/>
      <c r="E40" s="29"/>
      <c r="F40" s="55"/>
      <c r="G40" s="55"/>
      <c r="H40" s="50" t="s">
        <v>26</v>
      </c>
      <c r="I40" s="284">
        <f>IF($S$6=0,_xlfn.IFERROR(VLOOKUP(J27,classement,5,FALSE),0),"")</f>
      </c>
      <c r="J40" s="54" t="s">
        <v>28</v>
      </c>
      <c r="K40" s="51"/>
      <c r="L40" s="29"/>
      <c r="M40" s="55"/>
    </row>
    <row r="41" spans="1:13" ht="12.75">
      <c r="A41" s="56" t="s">
        <v>229</v>
      </c>
      <c r="B41" s="275">
        <f>SUM(B38,B40,F36)</f>
        <v>0</v>
      </c>
      <c r="C41" s="57"/>
      <c r="D41" s="124"/>
      <c r="E41" s="124"/>
      <c r="F41" s="125"/>
      <c r="G41" s="123"/>
      <c r="H41" s="56" t="s">
        <v>229</v>
      </c>
      <c r="I41" s="275">
        <f>SUM(I38,I40,M36)</f>
        <v>0</v>
      </c>
      <c r="J41" s="57"/>
      <c r="K41" s="124"/>
      <c r="L41" s="124"/>
      <c r="M41" s="125"/>
    </row>
    <row r="42" spans="1:13" ht="12.75" customHeight="1">
      <c r="A42" s="34"/>
      <c r="B42" s="36"/>
      <c r="C42" s="36"/>
      <c r="D42" s="36"/>
      <c r="E42" s="36"/>
      <c r="F42" s="36"/>
      <c r="G42" s="26"/>
      <c r="H42" s="37"/>
      <c r="I42" s="34"/>
      <c r="J42" s="36"/>
      <c r="K42" s="36"/>
      <c r="L42" s="36"/>
      <c r="M42" s="36"/>
    </row>
    <row r="43" spans="1:13" ht="12.75">
      <c r="A43" s="38" t="s">
        <v>37</v>
      </c>
      <c r="B43" s="39"/>
      <c r="C43" s="402">
        <f>IF(Participants!D12="","",Participants!D12)</f>
      </c>
      <c r="D43" s="402"/>
      <c r="E43" s="402"/>
      <c r="F43" s="403"/>
      <c r="G43" s="70"/>
      <c r="H43" s="38" t="s">
        <v>39</v>
      </c>
      <c r="I43" s="108"/>
      <c r="J43" s="402">
        <f>IF(Participants!D16="","",Participants!D16)</f>
      </c>
      <c r="K43" s="402"/>
      <c r="L43" s="402"/>
      <c r="M43" s="403"/>
    </row>
    <row r="44" spans="1:25" ht="12.75">
      <c r="A44" s="41" t="str">
        <f>IF(Participants!F12="","",Participants!F12)</f>
        <v> </v>
      </c>
      <c r="B44" s="42" t="s">
        <v>23</v>
      </c>
      <c r="C44" s="397" t="str">
        <f>IF(Participants!E12="","",Participants!E12)</f>
        <v> </v>
      </c>
      <c r="D44" s="397"/>
      <c r="E44" s="397"/>
      <c r="F44" s="398"/>
      <c r="G44" s="70"/>
      <c r="H44" s="128" t="str">
        <f>IF(Participants!F16="","",Participants!F16)</f>
        <v> </v>
      </c>
      <c r="I44" s="42" t="s">
        <v>23</v>
      </c>
      <c r="J44" s="399" t="str">
        <f>IF(Participants!E16="","",Participants!E16)</f>
        <v> </v>
      </c>
      <c r="K44" s="399"/>
      <c r="L44" s="399"/>
      <c r="M44" s="398"/>
      <c r="O44" s="392">
        <f>C43</f>
      </c>
      <c r="P44" s="393"/>
      <c r="Q44" s="393"/>
      <c r="R44" s="393"/>
      <c r="S44" s="394"/>
      <c r="U44" s="392">
        <f>J43</f>
      </c>
      <c r="V44" s="393"/>
      <c r="W44" s="393"/>
      <c r="X44" s="393"/>
      <c r="Y44" s="394"/>
    </row>
    <row r="45" spans="1:25" ht="16.5">
      <c r="A45" s="115"/>
      <c r="B45" s="111" t="s">
        <v>7</v>
      </c>
      <c r="C45" s="111" t="s">
        <v>8</v>
      </c>
      <c r="D45" s="111" t="s">
        <v>9</v>
      </c>
      <c r="E45" s="112" t="s">
        <v>11</v>
      </c>
      <c r="F45" s="102" t="s">
        <v>24</v>
      </c>
      <c r="G45" s="115"/>
      <c r="H45" s="115"/>
      <c r="I45" s="111" t="s">
        <v>7</v>
      </c>
      <c r="J45" s="111" t="s">
        <v>8</v>
      </c>
      <c r="K45" s="114" t="s">
        <v>9</v>
      </c>
      <c r="L45" s="112" t="s">
        <v>11</v>
      </c>
      <c r="M45" s="43" t="s">
        <v>24</v>
      </c>
      <c r="O45" s="218">
        <f>IF(F46&gt;1,E46,0)</f>
        <v>0</v>
      </c>
      <c r="P45" s="218">
        <f>IF(F47&gt;1,E47,0)</f>
        <v>0</v>
      </c>
      <c r="Q45" s="218">
        <f>IF(F48&gt;1,E48,0)</f>
        <v>0</v>
      </c>
      <c r="R45" s="218">
        <f>IF(F49&gt;1,E49,0)</f>
        <v>0</v>
      </c>
      <c r="S45" s="218">
        <f>IF(F50&gt;1,E50,0)</f>
        <v>0</v>
      </c>
      <c r="T45" s="81"/>
      <c r="U45" s="218">
        <f>IF(M46&gt;1,L46,0)</f>
        <v>0</v>
      </c>
      <c r="V45" s="218">
        <f>IF(M47&gt;1,L47,0)</f>
        <v>0</v>
      </c>
      <c r="W45" s="218">
        <f>IF(M48&gt;1,L48,0)</f>
        <v>0</v>
      </c>
      <c r="X45" s="218">
        <f>IF(M49&gt;1,L49,0)</f>
        <v>0</v>
      </c>
      <c r="Y45" s="218">
        <f>IF(M50&gt;1,L50,0)</f>
        <v>0</v>
      </c>
    </row>
    <row r="46" spans="1:13" ht="13.5">
      <c r="A46" s="182">
        <f>IF(C43='Phase de poule'!C4,'Phase de poule'!C5,IF(C43='Phase de poule'!C5,'Phase de poule'!C4," "))</f>
      </c>
      <c r="B46" s="131">
        <f>_xlfn.IFERROR(VLOOKUP(C43,tour_1,2,FALSE),"")</f>
        <v>0</v>
      </c>
      <c r="C46" s="131">
        <f>_xlfn.IFERROR(VLOOKUP(C43,tour_1,3,FALSE),"")</f>
        <v>0</v>
      </c>
      <c r="D46" s="131">
        <f>_xlfn.IFERROR(VLOOKUP(C43,tour_1,4,FALSE),"")</f>
        <v>0</v>
      </c>
      <c r="E46" s="101">
        <f>_xlfn.IFERROR(VLOOKUP(C43,tour_1,6,FALSE),"")</f>
      </c>
      <c r="F46" s="131">
        <f>_xlfn.IFERROR(VLOOKUP(C43,tour_1,5,FALSE),"")</f>
        <v>0</v>
      </c>
      <c r="G46" s="71"/>
      <c r="H46" s="182">
        <f>IF(J43='Phase de poule'!C6,'Phase de poule'!C7,IF(J43='Phase de poule'!C7,'Phase de poule'!C6," "))</f>
      </c>
      <c r="I46" s="131">
        <f>_xlfn.IFERROR(VLOOKUP(J43,tour_1,2,FALSE),"")</f>
        <v>0</v>
      </c>
      <c r="J46" s="131">
        <f>_xlfn.IFERROR(VLOOKUP(J43,tour_1,3,FALSE),"")</f>
        <v>0</v>
      </c>
      <c r="K46" s="131">
        <f>_xlfn.IFERROR(VLOOKUP(J43,tour_1,4,FALSE),"")</f>
        <v>0</v>
      </c>
      <c r="L46" s="101">
        <f>_xlfn.IFERROR(VLOOKUP(J43,tour_1,6,FALSE),"")</f>
      </c>
      <c r="M46" s="131">
        <f>_xlfn.IFERROR(VLOOKUP(J43,tour_1,5,FALSE),"")</f>
        <v>0</v>
      </c>
    </row>
    <row r="47" spans="1:13" ht="13.5">
      <c r="A47" s="182">
        <f>IF(C43='Phase de poule'!C13,'Phase de poule'!C14,IF(C43='Phase de poule'!C14,'Phase de poule'!C13," "))</f>
      </c>
      <c r="B47" s="131">
        <f>_xlfn.IFERROR(VLOOKUP(C43,tour_2,2,FALSE),"")</f>
        <v>0</v>
      </c>
      <c r="C47" s="131">
        <f>_xlfn.IFERROR(VLOOKUP(C43,tour_2,3,FALSE),"")</f>
        <v>0</v>
      </c>
      <c r="D47" s="131">
        <f>_xlfn.IFERROR(VLOOKUP(C43,tour_2,4,FALSE),"")</f>
        <v>0</v>
      </c>
      <c r="E47" s="101">
        <f>_xlfn.IFERROR(VLOOKUP(C43,tour_2,6,FALSE),"")</f>
      </c>
      <c r="F47" s="131">
        <f>_xlfn.IFERROR(VLOOKUP(C43,tour_2,5,FALSE),"")</f>
        <v>0</v>
      </c>
      <c r="G47" s="71"/>
      <c r="H47" s="182">
        <f>IF(J43='Phase de poule'!C15,'Phase de poule'!C16,IF(J43='Phase de poule'!C16,'Phase de poule'!C15," "))</f>
      </c>
      <c r="I47" s="131">
        <f>_xlfn.IFERROR(VLOOKUP(J43,tour_2,2,FALSE),"")</f>
        <v>0</v>
      </c>
      <c r="J47" s="131">
        <f>_xlfn.IFERROR(VLOOKUP(J43,tour_2,3,FALSE),"")</f>
        <v>0</v>
      </c>
      <c r="K47" s="131">
        <f>_xlfn.IFERROR(VLOOKUP(J43,tour_2,4,FALSE),"")</f>
        <v>0</v>
      </c>
      <c r="L47" s="101">
        <f>_xlfn.IFERROR(VLOOKUP(J43,tour_2,6,FALSE),"")</f>
      </c>
      <c r="M47" s="131">
        <f>_xlfn.IFERROR(VLOOKUP(J43,tour_2,5,FALSE),"")</f>
        <v>0</v>
      </c>
    </row>
    <row r="48" spans="1:13" ht="13.5">
      <c r="A48" s="182">
        <f>IF(C43='Phase de poule'!C22,'Phase de poule'!C23,IF(C43='Phase de poule'!C23,'Phase de poule'!C22," "))</f>
      </c>
      <c r="B48" s="131">
        <f>_xlfn.IFERROR(VLOOKUP(C43,tour_3,2,FALSE),"")</f>
        <v>0</v>
      </c>
      <c r="C48" s="131">
        <f>_xlfn.IFERROR(VLOOKUP(C43,tour_3,3,FALSE),"")</f>
        <v>0</v>
      </c>
      <c r="D48" s="131">
        <f>_xlfn.IFERROR(VLOOKUP(C43,tour_3,4,FALSE),"")</f>
        <v>0</v>
      </c>
      <c r="E48" s="101">
        <f>_xlfn.IFERROR(VLOOKUP(C43,tour_3,6,FALSE),"")</f>
      </c>
      <c r="F48" s="131">
        <f>_xlfn.IFERROR(VLOOKUP(C43,tour_3,5,FALSE),"")</f>
        <v>0</v>
      </c>
      <c r="G48" s="71"/>
      <c r="H48" s="182">
        <f>IF(J43='Phase de poule'!C24,'Phase de poule'!C25,IF(J43='Phase de poule'!C25,'Phase de poule'!C24," "))</f>
      </c>
      <c r="I48" s="131">
        <f>_xlfn.IFERROR(VLOOKUP(J43,tour_3,2,FALSE),"")</f>
        <v>0</v>
      </c>
      <c r="J48" s="131">
        <f>_xlfn.IFERROR(VLOOKUP(J43,tour_3,3,FALSE),"")</f>
        <v>0</v>
      </c>
      <c r="K48" s="131">
        <f>_xlfn.IFERROR(VLOOKUP(J43,tour_3,4,FALSE),"")</f>
        <v>0</v>
      </c>
      <c r="L48" s="101">
        <f>_xlfn.IFERROR(VLOOKUP(J43,tour_3,6,FALSE),"")</f>
      </c>
      <c r="M48" s="131">
        <f>_xlfn.IFERROR(VLOOKUP(J43,tour_3,5,FALSE),"")</f>
        <v>0</v>
      </c>
    </row>
    <row r="49" spans="1:13" ht="13.5">
      <c r="A49" s="182">
        <f>_xlfn.IFERROR(VLOOKUP(C43,tour_num_4,2,FALSE),"")</f>
      </c>
      <c r="B49" s="132">
        <f>_xlfn.IFERROR(VLOOKUP(C43,tour_num_4,3,FALSE),"")</f>
        <v>0</v>
      </c>
      <c r="C49" s="132">
        <f>_xlfn.IFERROR(VLOOKUP(C43,tour_num_4,4,FALSE),"")</f>
        <v>0</v>
      </c>
      <c r="D49" s="132">
        <f>_xlfn.IFERROR(VLOOKUP(C43,tour_num_4,5,FALSE),"")</f>
        <v>0</v>
      </c>
      <c r="E49" s="133">
        <f>_xlfn.IFERROR(VLOOKUP(C43,tour_num_4,7,FALSE),"")</f>
      </c>
      <c r="F49" s="131">
        <f>_xlfn.IFERROR(VLOOKUP(C43,tour_num_4,6,FALSE),"")</f>
        <v>0</v>
      </c>
      <c r="G49" s="71"/>
      <c r="H49" s="182">
        <f>_xlfn.IFERROR(VLOOKUP(J43,tour_num_4,2,FALSE),"")</f>
      </c>
      <c r="I49" s="132">
        <f>_xlfn.IFERROR(VLOOKUP(J43,tour_num_4,3,FALSE),"")</f>
        <v>0</v>
      </c>
      <c r="J49" s="132">
        <f>_xlfn.IFERROR(VLOOKUP(J43,tour_num_4,4,FALSE),"")</f>
        <v>0</v>
      </c>
      <c r="K49" s="132">
        <f>_xlfn.IFERROR(VLOOKUP(J43,tour_num_4,5,FALSE),"")</f>
        <v>0</v>
      </c>
      <c r="L49" s="133">
        <f>_xlfn.IFERROR(VLOOKUP(J43,tour_num_4,7,FALSE),"")</f>
      </c>
      <c r="M49" s="131">
        <f>_xlfn.IFERROR(VLOOKUP(J43,tour_num_4,6,FALSE),"")</f>
        <v>0</v>
      </c>
    </row>
    <row r="50" spans="1:32" ht="13.5">
      <c r="A50" s="182">
        <f>_xlfn.IFERROR(VLOOKUP(C43,tour_num_5,2,FALSE),"")</f>
      </c>
      <c r="B50" s="132">
        <f>_xlfn.IFERROR(VLOOKUP(C43,tour_num_5,3,FALSE),"")</f>
        <v>0</v>
      </c>
      <c r="C50" s="132">
        <f>_xlfn.IFERROR(VLOOKUP(C43,tour_num_5,4,FALSE),"")</f>
        <v>0</v>
      </c>
      <c r="D50" s="132">
        <f>_xlfn.IFERROR(VLOOKUP(C43,tour_num_5,5,FALSE),"")</f>
        <v>0</v>
      </c>
      <c r="E50" s="133">
        <f>_xlfn.IFERROR(VLOOKUP(C43,tour_num_5,7,FALSE),"")</f>
      </c>
      <c r="F50" s="131">
        <f>_xlfn.IFERROR(VLOOKUP(C43,tour_num_5,6,FALSE),"")</f>
        <v>0</v>
      </c>
      <c r="G50" s="71"/>
      <c r="H50" s="182">
        <f>_xlfn.IFERROR(VLOOKUP(J43,tour_num_5,2,FALSE),"")</f>
      </c>
      <c r="I50" s="132">
        <f>_xlfn.IFERROR(VLOOKUP(J43,tour_num_5,3,FALSE),"")</f>
        <v>0</v>
      </c>
      <c r="J50" s="132">
        <f>_xlfn.IFERROR(VLOOKUP(J43,tour_num_5,4,FALSE),"")</f>
        <v>0</v>
      </c>
      <c r="K50" s="132">
        <f>_xlfn.IFERROR(VLOOKUP(J43,tour_num_5,5,FALSE),"")</f>
        <v>0</v>
      </c>
      <c r="L50" s="133">
        <f>_xlfn.IFERROR(VLOOKUP(J43,tour_num_5,7,FALSE),"")</f>
      </c>
      <c r="M50" s="131">
        <f>_xlfn.IFERROR(VLOOKUP(J43,tour_num_5,6,FALSE),"")</f>
        <v>0</v>
      </c>
      <c r="AD50" s="224" t="s">
        <v>185</v>
      </c>
      <c r="AF50" s="135">
        <f>Participants!I4</f>
        <v>12</v>
      </c>
    </row>
    <row r="51" spans="1:13" ht="3.75" customHeight="1">
      <c r="A51" s="60"/>
      <c r="B51" s="61"/>
      <c r="C51" s="61"/>
      <c r="D51" s="62"/>
      <c r="E51" s="63"/>
      <c r="F51" s="59"/>
      <c r="G51" s="71"/>
      <c r="H51" s="115"/>
      <c r="I51" s="66"/>
      <c r="J51" s="67"/>
      <c r="K51" s="67"/>
      <c r="L51" s="68"/>
      <c r="M51" s="69"/>
    </row>
    <row r="52" spans="1:13" ht="13.5">
      <c r="A52" s="46" t="s">
        <v>25</v>
      </c>
      <c r="B52" s="280">
        <f>SUM(B46:B50)</f>
        <v>0</v>
      </c>
      <c r="C52" s="280">
        <f>SUM(C46:C50)</f>
        <v>0</v>
      </c>
      <c r="D52" s="280">
        <f>MAX(D46:D50)</f>
        <v>0</v>
      </c>
      <c r="E52" s="281">
        <f>IF(C52&gt;0,B52/C52,0)</f>
        <v>0</v>
      </c>
      <c r="F52" s="282">
        <f>SUM(F46:F50)</f>
        <v>0</v>
      </c>
      <c r="G52" s="71"/>
      <c r="H52" s="46" t="s">
        <v>25</v>
      </c>
      <c r="I52" s="280">
        <f>SUM(I46:I50)</f>
        <v>0</v>
      </c>
      <c r="J52" s="280">
        <f>SUM(J46:J50)</f>
        <v>0</v>
      </c>
      <c r="K52" s="280">
        <f>MAX(K46:K50)</f>
        <v>0</v>
      </c>
      <c r="L52" s="281">
        <f>IF(J52&gt;0,I52/J52,0)</f>
        <v>0</v>
      </c>
      <c r="M52" s="282">
        <f>SUM(M46:M50)</f>
        <v>0</v>
      </c>
    </row>
    <row r="53" spans="1:13" ht="5.25" customHeight="1">
      <c r="A53" s="47"/>
      <c r="B53" s="33"/>
      <c r="C53" s="33"/>
      <c r="D53" s="28"/>
      <c r="E53" s="33"/>
      <c r="F53" s="48"/>
      <c r="G53" s="47"/>
      <c r="H53" s="47"/>
      <c r="I53" s="33"/>
      <c r="J53" s="33"/>
      <c r="K53" s="28"/>
      <c r="L53" s="33"/>
      <c r="M53" s="48"/>
    </row>
    <row r="54" spans="1:34" ht="13.5">
      <c r="A54" s="50" t="s">
        <v>228</v>
      </c>
      <c r="B54" s="284">
        <f>IF(Participants!G12&lt;&gt;"",Participants!G12,"")</f>
      </c>
      <c r="C54" s="406" t="s">
        <v>27</v>
      </c>
      <c r="D54" s="407"/>
      <c r="E54" s="407"/>
      <c r="F54" s="52">
        <f>MAX(O45:S45)</f>
        <v>0</v>
      </c>
      <c r="G54" s="72"/>
      <c r="H54" s="50" t="s">
        <v>228</v>
      </c>
      <c r="I54" s="284">
        <f>IF(Participants!G16&lt;&gt;"",Participants!G16,"")</f>
      </c>
      <c r="J54" s="406" t="s">
        <v>27</v>
      </c>
      <c r="K54" s="407"/>
      <c r="L54" s="407"/>
      <c r="M54" s="52">
        <f>MAX(V45:Z45)</f>
        <v>0</v>
      </c>
      <c r="AD54" s="396" t="s">
        <v>181</v>
      </c>
      <c r="AE54" s="396"/>
      <c r="AF54" s="396"/>
      <c r="AG54" s="222" t="s">
        <v>182</v>
      </c>
      <c r="AH54" s="222" t="s">
        <v>7</v>
      </c>
    </row>
    <row r="55" spans="1:34" ht="13.5">
      <c r="A55" s="50" t="s">
        <v>300</v>
      </c>
      <c r="B55" s="284">
        <f>F52</f>
        <v>0</v>
      </c>
      <c r="C55" s="283" t="s">
        <v>299</v>
      </c>
      <c r="D55" s="274">
        <f>IF($S$6=0,_xlfn.IFERROR(VLOOKUP(C43,classement,4,FALSE),""),0)</f>
        <v>0</v>
      </c>
      <c r="E55" s="30"/>
      <c r="F55" s="123"/>
      <c r="G55" s="115"/>
      <c r="H55" s="50" t="s">
        <v>300</v>
      </c>
      <c r="I55" s="284">
        <f>M52</f>
        <v>0</v>
      </c>
      <c r="J55" s="283" t="s">
        <v>299</v>
      </c>
      <c r="K55" s="274">
        <f>IF($S$6=0,_xlfn.IFERROR(VLOOKUP(J43,classement,4,FALSE),""),0)</f>
        <v>0</v>
      </c>
      <c r="L55" s="30"/>
      <c r="M55" s="123"/>
      <c r="AD55" s="401">
        <f>IF('Phase finale'!H13&gt;'Phase finale'!H14,'Phase finale'!C13,'Phase finale'!C14)</f>
      </c>
      <c r="AE55" s="401"/>
      <c r="AF55" s="401"/>
      <c r="AG55" s="223">
        <v>1</v>
      </c>
      <c r="AH55" s="223">
        <v>22</v>
      </c>
    </row>
    <row r="56" spans="1:34" ht="13.5">
      <c r="A56" s="50" t="s">
        <v>26</v>
      </c>
      <c r="B56" s="284">
        <f>IF($S$6=0,_xlfn.IFERROR(VLOOKUP(C43,classement,5,FALSE),0),"")</f>
      </c>
      <c r="C56" s="54" t="s">
        <v>28</v>
      </c>
      <c r="D56" s="51"/>
      <c r="E56" s="29"/>
      <c r="F56" s="55"/>
      <c r="G56" s="73"/>
      <c r="H56" s="50" t="s">
        <v>26</v>
      </c>
      <c r="I56" s="284">
        <f>IF($S$6=0,_xlfn.IFERROR(VLOOKUP(J43,classement,5,FALSE),0),"")</f>
      </c>
      <c r="J56" s="54" t="s">
        <v>28</v>
      </c>
      <c r="K56" s="51"/>
      <c r="L56" s="29"/>
      <c r="M56" s="55"/>
      <c r="AD56" s="395">
        <f>IF('Phase finale'!H14&gt;'Phase finale'!H13,'Phase finale'!C13,'Phase finale'!C14)</f>
      </c>
      <c r="AE56" s="395"/>
      <c r="AF56" s="395"/>
      <c r="AG56" s="137">
        <v>2</v>
      </c>
      <c r="AH56" s="137">
        <v>19</v>
      </c>
    </row>
    <row r="57" spans="1:34" ht="12.75">
      <c r="A57" s="56" t="s">
        <v>229</v>
      </c>
      <c r="B57" s="275">
        <f>SUM(B54,B56,F52)</f>
        <v>0</v>
      </c>
      <c r="C57" s="57"/>
      <c r="D57" s="124"/>
      <c r="E57" s="124"/>
      <c r="F57" s="125"/>
      <c r="G57" s="115"/>
      <c r="H57" s="56" t="s">
        <v>229</v>
      </c>
      <c r="I57" s="275">
        <f>SUM(I54,I56,M52)</f>
        <v>0</v>
      </c>
      <c r="J57" s="57"/>
      <c r="K57" s="124"/>
      <c r="L57" s="124"/>
      <c r="M57" s="125"/>
      <c r="AD57" s="395">
        <f>IF('Phase finale'!H15&gt;'Phase finale'!H16,'Phase finale'!C15,'Phase finale'!C16)</f>
      </c>
      <c r="AE57" s="395"/>
      <c r="AF57" s="395"/>
      <c r="AG57" s="137">
        <v>3</v>
      </c>
      <c r="AH57" s="137">
        <v>16</v>
      </c>
    </row>
    <row r="58" spans="1:34" ht="12.75">
      <c r="A58" s="36"/>
      <c r="B58" s="36"/>
      <c r="C58" s="36"/>
      <c r="D58" s="36"/>
      <c r="E58" s="36"/>
      <c r="F58" s="36"/>
      <c r="G58" s="36"/>
      <c r="H58" s="37"/>
      <c r="I58" s="36"/>
      <c r="J58" s="36"/>
      <c r="K58" s="36"/>
      <c r="L58" s="36"/>
      <c r="M58" s="36"/>
      <c r="AD58" s="395">
        <f>IF('Phase finale'!H16&gt;'Phase finale'!H15,'Phase finale'!C15,'Phase finale'!C16)</f>
      </c>
      <c r="AE58" s="395"/>
      <c r="AF58" s="395"/>
      <c r="AG58" s="137">
        <v>4</v>
      </c>
      <c r="AH58" s="137">
        <v>14</v>
      </c>
    </row>
    <row r="59" spans="1:34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AD59" s="395">
        <f>IF('Phase finale'!H17&gt;'Phase finale'!H18,'Phase finale'!C17,'Phase finale'!C18)</f>
      </c>
      <c r="AE59" s="395"/>
      <c r="AF59" s="395"/>
      <c r="AG59" s="137">
        <v>5</v>
      </c>
      <c r="AH59" s="137">
        <v>12</v>
      </c>
    </row>
    <row r="60" spans="1:3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AD60" s="395">
        <f>IF('Phase finale'!H18&gt;'Phase finale'!H17,'Phase finale'!C17,'Phase finale'!C18)</f>
      </c>
      <c r="AE60" s="395"/>
      <c r="AF60" s="395"/>
      <c r="AG60" s="137">
        <v>6</v>
      </c>
      <c r="AH60" s="137">
        <v>11</v>
      </c>
    </row>
    <row r="61" spans="1:3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AD61" s="395">
        <f>IF('Phase finale'!H19&gt;'Phase finale'!H20,'Phase finale'!C19,'Phase finale'!C20)</f>
      </c>
      <c r="AE61" s="395"/>
      <c r="AF61" s="395"/>
      <c r="AG61" s="137">
        <v>7</v>
      </c>
      <c r="AH61" s="137">
        <v>10</v>
      </c>
    </row>
    <row r="62" spans="1:34" ht="13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AD62" s="395">
        <f>IF('Phase finale'!H20&gt;'Phase finale'!H19,'Phase finale'!C19,'Phase finale'!C20)</f>
      </c>
      <c r="AE62" s="395"/>
      <c r="AF62" s="395"/>
      <c r="AG62" s="137">
        <v>8</v>
      </c>
      <c r="AH62" s="137">
        <v>9</v>
      </c>
    </row>
    <row r="63" spans="1:34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AD63" s="395">
        <f>IF('Phase finale'!H8&gt;'Phase finale'!H9,'Phase finale'!C8,'Phase finale'!C9)</f>
      </c>
      <c r="AE63" s="395"/>
      <c r="AF63" s="395"/>
      <c r="AG63" s="137">
        <v>9</v>
      </c>
      <c r="AH63" s="137">
        <v>8</v>
      </c>
    </row>
    <row r="64" spans="1:34" ht="12.75" customHeight="1">
      <c r="A64" s="38" t="s">
        <v>31</v>
      </c>
      <c r="B64" s="39"/>
      <c r="C64" s="402">
        <f>IF(Participants!D18="","",Participants!D18)</f>
      </c>
      <c r="D64" s="402"/>
      <c r="E64" s="402"/>
      <c r="F64" s="403"/>
      <c r="G64" s="4"/>
      <c r="H64" s="38" t="s">
        <v>157</v>
      </c>
      <c r="I64" s="41"/>
      <c r="J64" s="402">
        <f>IF(Participants!D22="","",Participants!D22)</f>
      </c>
      <c r="K64" s="402"/>
      <c r="L64" s="402"/>
      <c r="M64" s="403"/>
      <c r="AD64" s="395">
        <f>IF('Phase finale'!H9&gt;'Phase finale'!H8,'Phase finale'!C8,'Phase finale'!C9)</f>
      </c>
      <c r="AE64" s="395"/>
      <c r="AF64" s="395"/>
      <c r="AG64" s="137">
        <v>10</v>
      </c>
      <c r="AH64" s="137">
        <v>7</v>
      </c>
    </row>
    <row r="65" spans="1:34" ht="12.75">
      <c r="A65" s="41" t="str">
        <f>IF(Participants!F18="","",Participants!F18)</f>
        <v> </v>
      </c>
      <c r="B65" s="42" t="s">
        <v>23</v>
      </c>
      <c r="C65" s="397" t="str">
        <f>IF(Participants!E18="","",Participants!E18)</f>
        <v> </v>
      </c>
      <c r="D65" s="397"/>
      <c r="E65" s="397"/>
      <c r="F65" s="398"/>
      <c r="G65" s="4"/>
      <c r="H65" s="41" t="str">
        <f>IF(Participants!F22="","",Participants!F22)</f>
        <v> </v>
      </c>
      <c r="I65" s="42" t="s">
        <v>23</v>
      </c>
      <c r="J65" s="397" t="str">
        <f>IF(Participants!E22="","",Participants!E22)</f>
        <v> </v>
      </c>
      <c r="K65" s="397"/>
      <c r="L65" s="397"/>
      <c r="M65" s="398"/>
      <c r="O65" s="392">
        <f>C64</f>
      </c>
      <c r="P65" s="393"/>
      <c r="Q65" s="393"/>
      <c r="R65" s="393"/>
      <c r="S65" s="394"/>
      <c r="U65" s="392">
        <f>J64</f>
      </c>
      <c r="V65" s="393"/>
      <c r="W65" s="393"/>
      <c r="X65" s="393"/>
      <c r="Y65" s="394"/>
      <c r="AD65" s="395">
        <f>IF(AF50=11,Classement!N37,IF('Phase finale'!H10&gt;'Phase finale'!H11,'Phase finale'!C10,'Phase finale'!C11))</f>
      </c>
      <c r="AE65" s="395"/>
      <c r="AF65" s="395"/>
      <c r="AG65" s="137">
        <v>11</v>
      </c>
      <c r="AH65" s="137">
        <v>6</v>
      </c>
    </row>
    <row r="66" spans="1:34" ht="16.5" customHeight="1">
      <c r="A66" s="110"/>
      <c r="B66" s="111" t="s">
        <v>7</v>
      </c>
      <c r="C66" s="111" t="s">
        <v>8</v>
      </c>
      <c r="D66" s="114" t="s">
        <v>9</v>
      </c>
      <c r="E66" s="112" t="s">
        <v>11</v>
      </c>
      <c r="F66" s="43" t="s">
        <v>24</v>
      </c>
      <c r="G66" s="4"/>
      <c r="H66" s="110"/>
      <c r="I66" s="111" t="s">
        <v>7</v>
      </c>
      <c r="J66" s="111" t="s">
        <v>8</v>
      </c>
      <c r="K66" s="114" t="s">
        <v>9</v>
      </c>
      <c r="L66" s="112" t="s">
        <v>11</v>
      </c>
      <c r="M66" s="43" t="s">
        <v>24</v>
      </c>
      <c r="O66" s="218">
        <f>IF(F67&gt;1,E67,0)</f>
        <v>0</v>
      </c>
      <c r="P66" s="218">
        <f>IF(F68&gt;1,E68,0)</f>
        <v>0</v>
      </c>
      <c r="Q66" s="218">
        <f>IF(F69&gt;1,E69,0)</f>
        <v>0</v>
      </c>
      <c r="R66" s="218">
        <f>IF(F70&gt;1,E70,0)</f>
        <v>0</v>
      </c>
      <c r="S66" s="218">
        <f>IF(F71&gt;1,E71,0)</f>
        <v>0</v>
      </c>
      <c r="U66" s="218">
        <f>IF(M67&gt;1,L67,0)</f>
        <v>0</v>
      </c>
      <c r="V66" s="218">
        <f>IF(M68&gt;1,L68,0)</f>
        <v>0</v>
      </c>
      <c r="W66" s="218">
        <f>IF(M69&gt;1,L69,0)</f>
        <v>0</v>
      </c>
      <c r="X66" s="218">
        <f>IF(M70&gt;1,L70,0)</f>
        <v>0</v>
      </c>
      <c r="Y66" s="218">
        <f>IF(M71&gt;1,L71,0)</f>
        <v>0</v>
      </c>
      <c r="AD66" s="400">
        <f>IF(AF50=12,IF('Phase finale'!H11&gt;'Phase finale'!H10,'Phase finale'!C10,'Phase finale'!C11),"")</f>
      </c>
      <c r="AE66" s="400"/>
      <c r="AF66" s="400"/>
      <c r="AG66" s="138">
        <v>12</v>
      </c>
      <c r="AH66" s="138">
        <v>5</v>
      </c>
    </row>
    <row r="67" spans="1:13" ht="12.75" customHeight="1">
      <c r="A67" s="182">
        <f>IF(C64='Phase de poule'!C8,'Phase de poule'!C9,IF(C64='Phase de poule'!C9,'Phase de poule'!C8," "))</f>
      </c>
      <c r="B67" s="131">
        <f>_xlfn.IFERROR(VLOOKUP(C64,tour_1,2,FALSE),"")</f>
        <v>0</v>
      </c>
      <c r="C67" s="131">
        <f>_xlfn.IFERROR(VLOOKUP(C64,tour_1,3,FALSE),"")</f>
        <v>0</v>
      </c>
      <c r="D67" s="131">
        <f>_xlfn.IFERROR(VLOOKUP(C64,tour_1,4,FALSE),"")</f>
        <v>0</v>
      </c>
      <c r="E67" s="101">
        <f>_xlfn.IFERROR(VLOOKUP(C64,tour_1,6,FALSE),"")</f>
      </c>
      <c r="F67" s="131">
        <f>_xlfn.IFERROR(VLOOKUP(C64,tour_1,5,FALSE),"")</f>
        <v>0</v>
      </c>
      <c r="G67" s="4"/>
      <c r="H67" s="182">
        <f>IF(J64='Phase de poule'!C10,'Phase de poule'!C11,IF(J64='Phase de poule'!C11,'Phase de poule'!C10," "))</f>
      </c>
      <c r="I67" s="131">
        <f>_xlfn.IFERROR(VLOOKUP(J64,tour_1,2,FALSE),"")</f>
        <v>0</v>
      </c>
      <c r="J67" s="131">
        <f>_xlfn.IFERROR(VLOOKUP(J64,tour_1,3,FALSE),"")</f>
        <v>0</v>
      </c>
      <c r="K67" s="131">
        <f>_xlfn.IFERROR(VLOOKUP(J64,tour_1,4,FALSE),"")</f>
        <v>0</v>
      </c>
      <c r="L67" s="101">
        <f>_xlfn.IFERROR(VLOOKUP(J64,tour_1,6,FALSE),"")</f>
      </c>
      <c r="M67" s="131">
        <f>_xlfn.IFERROR(VLOOKUP(J64,tour_1,5,FALSE),"")</f>
        <v>0</v>
      </c>
    </row>
    <row r="68" spans="1:13" ht="12.75" customHeight="1">
      <c r="A68" s="182">
        <f>IF(C64='Phase de poule'!C17,'Phase de poule'!C18,IF(C64='Phase de poule'!C18,'Phase de poule'!C17," "))</f>
      </c>
      <c r="B68" s="131">
        <f>_xlfn.IFERROR(VLOOKUP(C64,tour_2,2,FALSE),"")</f>
        <v>0</v>
      </c>
      <c r="C68" s="131">
        <f>_xlfn.IFERROR(VLOOKUP(C64,tour_2,3,FALSE),"")</f>
        <v>0</v>
      </c>
      <c r="D68" s="131">
        <f>_xlfn.IFERROR(VLOOKUP(C64,tour_2,4,FALSE),"")</f>
        <v>0</v>
      </c>
      <c r="E68" s="101">
        <f>_xlfn.IFERROR(VLOOKUP(C64,tour_2,6,FALSE),"")</f>
      </c>
      <c r="F68" s="131">
        <f>_xlfn.IFERROR(VLOOKUP(C64,tour_2,5,FALSE),"")</f>
        <v>0</v>
      </c>
      <c r="G68" s="4"/>
      <c r="H68" s="182">
        <f>IF(J64='Phase de poule'!C19,'Phase de poule'!C20,IF(J65='Phase de poule'!C20,'Phase de poule'!C19," "))</f>
      </c>
      <c r="I68" s="131">
        <f>_xlfn.IFERROR(VLOOKUP(J64,tour_2,2,FALSE),"")</f>
        <v>0</v>
      </c>
      <c r="J68" s="131">
        <f>_xlfn.IFERROR(VLOOKUP(J64,tour_2,3,FALSE),"")</f>
        <v>0</v>
      </c>
      <c r="K68" s="131">
        <f>_xlfn.IFERROR(VLOOKUP(J64,tour_2,4,FALSE),"")</f>
        <v>0</v>
      </c>
      <c r="L68" s="101">
        <f>_xlfn.IFERROR(VLOOKUP(J64,tour_2,6,FALSE),"")</f>
      </c>
      <c r="M68" s="131">
        <f>_xlfn.IFERROR(VLOOKUP(J64,tour_2,5,FALSE),"")</f>
        <v>0</v>
      </c>
    </row>
    <row r="69" spans="1:13" ht="12.75">
      <c r="A69" s="182">
        <f>IF(C64='Phase de poule'!C26,'Phase de poule'!C27,IF(C64='Phase de poule'!C27,'Phase de poule'!C26," "))</f>
      </c>
      <c r="B69" s="131">
        <f>_xlfn.IFERROR(VLOOKUP(C64,tour_3,2,FALSE),"")</f>
        <v>0</v>
      </c>
      <c r="C69" s="131">
        <f>_xlfn.IFERROR(VLOOKUP(C64,tour_3,3,FALSE),"")</f>
        <v>0</v>
      </c>
      <c r="D69" s="131">
        <f>_xlfn.IFERROR(VLOOKUP(C64,tour_3,4,FALSE),"")</f>
        <v>0</v>
      </c>
      <c r="E69" s="101">
        <f>_xlfn.IFERROR(VLOOKUP(C64,tour_3,6,FALSE),"")</f>
      </c>
      <c r="F69" s="131">
        <f>_xlfn.IFERROR(VLOOKUP(C64,tour_3,5,FALSE),"")</f>
        <v>0</v>
      </c>
      <c r="G69" s="4"/>
      <c r="H69" s="182">
        <f>IF(J64='Phase de poule'!C28,'Phase de poule'!C29,IF(J64='Phase de poule'!C29,'Phase de poule'!C28," "))</f>
      </c>
      <c r="I69" s="131">
        <f>_xlfn.IFERROR(VLOOKUP(J64,tour_3,2,FALSE),"")</f>
        <v>0</v>
      </c>
      <c r="J69" s="131">
        <f>_xlfn.IFERROR(VLOOKUP(J64,tour_3,3,FALSE),"")</f>
        <v>0</v>
      </c>
      <c r="K69" s="131">
        <f>_xlfn.IFERROR(VLOOKUP(J64,tour_3,4,FALSE),"")</f>
        <v>0</v>
      </c>
      <c r="L69" s="101">
        <f>_xlfn.IFERROR(VLOOKUP(J64,tour_3,6,FALSE),"")</f>
      </c>
      <c r="M69" s="131">
        <f>_xlfn.IFERROR(VLOOKUP(J64,tour_3,5,FALSE),"")</f>
        <v>0</v>
      </c>
    </row>
    <row r="70" spans="1:13" ht="12.75">
      <c r="A70" s="182">
        <f>_xlfn.IFERROR(VLOOKUP(C64,tour_num_4,2,FALSE),"")</f>
      </c>
      <c r="B70" s="132">
        <f>_xlfn.IFERROR(VLOOKUP(C64,tour_num_4,3,FALSE),"")</f>
        <v>0</v>
      </c>
      <c r="C70" s="132">
        <f>_xlfn.IFERROR(VLOOKUP(C64,tour_num_4,4,FALSE),"")</f>
        <v>0</v>
      </c>
      <c r="D70" s="132">
        <f>_xlfn.IFERROR(VLOOKUP(C64,tour_num_4,5,FALSE),"")</f>
        <v>0</v>
      </c>
      <c r="E70" s="133">
        <f>_xlfn.IFERROR(VLOOKUP(C64,tour_num_4,7,FALSE),"")</f>
      </c>
      <c r="F70" s="131">
        <f>_xlfn.IFERROR(VLOOKUP(C64,tour_num_4,6,FALSE),"")</f>
        <v>0</v>
      </c>
      <c r="G70" s="4"/>
      <c r="H70" s="182">
        <f>_xlfn.IFERROR(VLOOKUP(J64,tour_num_4,2,FALSE),"")</f>
      </c>
      <c r="I70" s="132">
        <f>_xlfn.IFERROR(VLOOKUP(J64,tour_num_4,3,FALSE),"")</f>
        <v>0</v>
      </c>
      <c r="J70" s="132">
        <f>_xlfn.IFERROR(VLOOKUP(J64,tour_num_4,4,FALSE),"")</f>
        <v>0</v>
      </c>
      <c r="K70" s="132">
        <f>_xlfn.IFERROR(VLOOKUP(J64,tour_num_4,5,FALSE),"")</f>
        <v>0</v>
      </c>
      <c r="L70" s="133">
        <f>_xlfn.IFERROR(VLOOKUP(J64,tour_num_4,7,FALSE),"")</f>
      </c>
      <c r="M70" s="131">
        <f>_xlfn.IFERROR(VLOOKUP(J64,tour_num_4,6,FALSE),"")</f>
        <v>0</v>
      </c>
    </row>
    <row r="71" spans="1:21" ht="12.75" customHeight="1">
      <c r="A71" s="182">
        <f>_xlfn.IFERROR(VLOOKUP(C64,tour_num_5,2,FALSE),"")</f>
      </c>
      <c r="B71" s="132">
        <f>_xlfn.IFERROR(VLOOKUP(C64,tour_num_5,3,FALSE),"")</f>
        <v>0</v>
      </c>
      <c r="C71" s="132">
        <f>_xlfn.IFERROR(VLOOKUP(C64,tour_num_5,4,FALSE),"")</f>
        <v>0</v>
      </c>
      <c r="D71" s="132">
        <f>_xlfn.IFERROR(VLOOKUP(C64,tour_num_5,5,FALSE),"")</f>
        <v>0</v>
      </c>
      <c r="E71" s="133">
        <f>_xlfn.IFERROR(VLOOKUP(C64,tour_num_5,7,FALSE),"")</f>
      </c>
      <c r="F71" s="131">
        <f>_xlfn.IFERROR(VLOOKUP(C64,tour_num_5,6,FALSE),"")</f>
        <v>0</v>
      </c>
      <c r="G71" s="4"/>
      <c r="H71" s="182">
        <f>_xlfn.IFERROR(VLOOKUP(J64,tour_num_5,2,FALSE),"")</f>
      </c>
      <c r="I71" s="132">
        <f>_xlfn.IFERROR(VLOOKUP(J64,tour_num_5,3,FALSE),"")</f>
        <v>0</v>
      </c>
      <c r="J71" s="132">
        <f>_xlfn.IFERROR(VLOOKUP(J64,tour_num_5,4,FALSE),"")</f>
        <v>0</v>
      </c>
      <c r="K71" s="132">
        <f>_xlfn.IFERROR(VLOOKUP(J64,tour_num_5,5,FALSE),"")</f>
        <v>0</v>
      </c>
      <c r="L71" s="133">
        <f>_xlfn.IFERROR(VLOOKUP(J64,tour_num_5,7,FALSE),"")</f>
      </c>
      <c r="M71" s="131">
        <f>_xlfn.IFERROR(VLOOKUP(J64,tour_num_5,6,FALSE),"")</f>
        <v>0</v>
      </c>
      <c r="U71" s="136"/>
    </row>
    <row r="72" spans="1:13" ht="3.75" customHeight="1">
      <c r="A72" s="115"/>
      <c r="B72" s="116"/>
      <c r="C72" s="116"/>
      <c r="D72" s="116"/>
      <c r="E72" s="129"/>
      <c r="F72" s="117"/>
      <c r="G72" s="4"/>
      <c r="H72" s="115"/>
      <c r="I72" s="116"/>
      <c r="J72" s="116"/>
      <c r="K72" s="116"/>
      <c r="L72" s="129"/>
      <c r="M72" s="117"/>
    </row>
    <row r="73" spans="1:13" ht="13.5">
      <c r="A73" s="46" t="s">
        <v>25</v>
      </c>
      <c r="B73" s="280">
        <f>SUM(B67:B71)</f>
        <v>0</v>
      </c>
      <c r="C73" s="280">
        <f>SUM(C67:C71)</f>
        <v>0</v>
      </c>
      <c r="D73" s="280">
        <f>MAX(D67:D71)</f>
        <v>0</v>
      </c>
      <c r="E73" s="281">
        <f>IF(C73&gt;0,B73/C73,0)</f>
        <v>0</v>
      </c>
      <c r="F73" s="282">
        <f>SUM(F67:F71)</f>
        <v>0</v>
      </c>
      <c r="G73" s="4"/>
      <c r="H73" s="46" t="s">
        <v>25</v>
      </c>
      <c r="I73" s="280">
        <f>SUM(I67:I71)</f>
        <v>0</v>
      </c>
      <c r="J73" s="280">
        <f>SUM(J67:J71)</f>
        <v>0</v>
      </c>
      <c r="K73" s="280">
        <f>MAX(K67:K71)</f>
        <v>0</v>
      </c>
      <c r="L73" s="281">
        <f>IF(J73&gt;0,I73/J73,0)</f>
        <v>0</v>
      </c>
      <c r="M73" s="282">
        <f>SUM(M67:M71)</f>
        <v>0</v>
      </c>
    </row>
    <row r="74" spans="1:13" ht="4.5" customHeight="1">
      <c r="A74" s="47"/>
      <c r="B74" s="33"/>
      <c r="C74" s="33"/>
      <c r="D74" s="28"/>
      <c r="E74" s="33"/>
      <c r="F74" s="48"/>
      <c r="G74" s="4"/>
      <c r="H74" s="47"/>
      <c r="I74" s="33"/>
      <c r="J74" s="33"/>
      <c r="K74" s="28"/>
      <c r="L74" s="33"/>
      <c r="M74" s="48"/>
    </row>
    <row r="75" spans="1:13" ht="13.5">
      <c r="A75" s="50" t="s">
        <v>228</v>
      </c>
      <c r="B75" s="284">
        <f>IF(Participants!G18&lt;&gt;"",Participants!G18,"")</f>
      </c>
      <c r="C75" s="406" t="s">
        <v>27</v>
      </c>
      <c r="D75" s="407"/>
      <c r="E75" s="407"/>
      <c r="F75" s="52">
        <f>MAX(O66:S66)</f>
        <v>0</v>
      </c>
      <c r="G75" s="4"/>
      <c r="H75" s="50" t="s">
        <v>228</v>
      </c>
      <c r="I75" s="284">
        <f>IF(Participants!G22&lt;&gt;"",Participants!G22,"")</f>
      </c>
      <c r="J75" s="406" t="s">
        <v>27</v>
      </c>
      <c r="K75" s="407"/>
      <c r="L75" s="407"/>
      <c r="M75" s="52">
        <f>MAX(V66:Z66)</f>
        <v>0</v>
      </c>
    </row>
    <row r="76" spans="1:13" ht="13.5">
      <c r="A76" s="50" t="s">
        <v>300</v>
      </c>
      <c r="B76" s="284">
        <f>F73</f>
        <v>0</v>
      </c>
      <c r="C76" s="283" t="s">
        <v>299</v>
      </c>
      <c r="D76" s="274">
        <f>IF($S$6=0,_xlfn.IFERROR(VLOOKUP(C64,classement,4,FALSE),""),0)</f>
        <v>0</v>
      </c>
      <c r="E76" s="30"/>
      <c r="F76" s="123"/>
      <c r="G76" s="4"/>
      <c r="H76" s="50" t="s">
        <v>300</v>
      </c>
      <c r="I76" s="284">
        <f>M73</f>
        <v>0</v>
      </c>
      <c r="J76" s="283" t="s">
        <v>299</v>
      </c>
      <c r="K76" s="274">
        <f>IF($S$6=0,_xlfn.IFERROR(VLOOKUP(J64,classement,4,FALSE),""),0)</f>
        <v>0</v>
      </c>
      <c r="L76" s="30"/>
      <c r="M76" s="123"/>
    </row>
    <row r="77" spans="1:13" ht="13.5">
      <c r="A77" s="50" t="s">
        <v>26</v>
      </c>
      <c r="B77" s="284">
        <f>IF($S$6=0,_xlfn.IFERROR(VLOOKUP(C64,classement,5,FALSE),0),"")</f>
      </c>
      <c r="C77" s="54" t="s">
        <v>28</v>
      </c>
      <c r="D77" s="51"/>
      <c r="E77" s="29"/>
      <c r="F77" s="55"/>
      <c r="G77" s="4"/>
      <c r="H77" s="50" t="s">
        <v>26</v>
      </c>
      <c r="I77" s="284">
        <f>IF($S$6=0,_xlfn.IFERROR(VLOOKUP(J64,classement,5,FALSE),0),"")</f>
      </c>
      <c r="J77" s="54" t="s">
        <v>28</v>
      </c>
      <c r="K77" s="51"/>
      <c r="L77" s="29"/>
      <c r="M77" s="55"/>
    </row>
    <row r="78" spans="1:13" ht="12.75">
      <c r="A78" s="56" t="s">
        <v>229</v>
      </c>
      <c r="B78" s="275">
        <f>SUM(B75,B77,F73)</f>
        <v>0</v>
      </c>
      <c r="C78" s="57"/>
      <c r="D78" s="124"/>
      <c r="E78" s="124"/>
      <c r="F78" s="125"/>
      <c r="G78" s="4"/>
      <c r="H78" s="56" t="s">
        <v>229</v>
      </c>
      <c r="I78" s="275">
        <f>SUM(I75,I77,M73)</f>
        <v>0</v>
      </c>
      <c r="J78" s="57"/>
      <c r="K78" s="124"/>
      <c r="L78" s="124"/>
      <c r="M78" s="125"/>
    </row>
    <row r="79" spans="1:13" ht="12.75">
      <c r="A79" s="58"/>
      <c r="B79" s="36"/>
      <c r="C79" s="36"/>
      <c r="D79" s="36"/>
      <c r="E79" s="36"/>
      <c r="F79" s="36"/>
      <c r="G79" s="4"/>
      <c r="H79" s="58"/>
      <c r="I79" s="36"/>
      <c r="J79" s="36"/>
      <c r="K79" s="36"/>
      <c r="L79" s="36"/>
      <c r="M79" s="36"/>
    </row>
    <row r="80" spans="1:13" ht="12.75">
      <c r="A80" s="38" t="s">
        <v>40</v>
      </c>
      <c r="B80" s="39"/>
      <c r="C80" s="402">
        <f>IF(Participants!D19="","",Participants!D19)</f>
      </c>
      <c r="D80" s="402"/>
      <c r="E80" s="402"/>
      <c r="F80" s="403"/>
      <c r="G80" s="4"/>
      <c r="H80" s="38" t="s">
        <v>158</v>
      </c>
      <c r="I80" s="39"/>
      <c r="J80" s="402">
        <f>IF(Participants!D23="","",Participants!D23)</f>
      </c>
      <c r="K80" s="402"/>
      <c r="L80" s="402"/>
      <c r="M80" s="403"/>
    </row>
    <row r="81" spans="1:25" ht="12.75">
      <c r="A81" s="41" t="str">
        <f>IF(Participants!F19="","",Participants!F19)</f>
        <v> </v>
      </c>
      <c r="B81" s="42" t="s">
        <v>23</v>
      </c>
      <c r="C81" s="397" t="str">
        <f>IF(Participants!E19="","",Participants!E19)</f>
        <v> </v>
      </c>
      <c r="D81" s="397"/>
      <c r="E81" s="397"/>
      <c r="F81" s="398"/>
      <c r="G81" s="4"/>
      <c r="H81" s="41" t="str">
        <f>IF(Participants!F23="","",Participants!F23)</f>
        <v> </v>
      </c>
      <c r="I81" s="42" t="s">
        <v>23</v>
      </c>
      <c r="J81" s="397" t="str">
        <f>IF(Participants!E23="","",Participants!E23)</f>
        <v> </v>
      </c>
      <c r="K81" s="397"/>
      <c r="L81" s="397"/>
      <c r="M81" s="398"/>
      <c r="O81" s="392">
        <f>C80</f>
      </c>
      <c r="P81" s="393"/>
      <c r="Q81" s="393"/>
      <c r="R81" s="393"/>
      <c r="S81" s="394"/>
      <c r="U81" s="392">
        <f>J80</f>
      </c>
      <c r="V81" s="393"/>
      <c r="W81" s="393"/>
      <c r="X81" s="393"/>
      <c r="Y81" s="394"/>
    </row>
    <row r="82" spans="1:25" ht="16.5" customHeight="1">
      <c r="A82" s="110"/>
      <c r="B82" s="111" t="s">
        <v>7</v>
      </c>
      <c r="C82" s="111" t="s">
        <v>8</v>
      </c>
      <c r="D82" s="114" t="s">
        <v>9</v>
      </c>
      <c r="E82" s="112" t="s">
        <v>11</v>
      </c>
      <c r="F82" s="43" t="s">
        <v>24</v>
      </c>
      <c r="G82" s="4"/>
      <c r="H82" s="110"/>
      <c r="I82" s="111" t="s">
        <v>7</v>
      </c>
      <c r="J82" s="111" t="s">
        <v>8</v>
      </c>
      <c r="K82" s="114" t="s">
        <v>9</v>
      </c>
      <c r="L82" s="112" t="s">
        <v>11</v>
      </c>
      <c r="M82" s="43" t="s">
        <v>24</v>
      </c>
      <c r="O82" s="218">
        <f>IF(F83&gt;1,E83,0)</f>
        <v>0</v>
      </c>
      <c r="P82" s="218">
        <f>IF(F84&gt;1,E84,0)</f>
        <v>0</v>
      </c>
      <c r="Q82" s="218">
        <f>IF(F85&gt;1,E85,0)</f>
        <v>0</v>
      </c>
      <c r="R82" s="218">
        <f>IF(F86&gt;1,E86,0)</f>
        <v>0</v>
      </c>
      <c r="S82" s="218">
        <f>IF(F87&gt;1,E87,0)</f>
        <v>0</v>
      </c>
      <c r="U82" s="218">
        <f>IF(M83&gt;1,L83,0)</f>
        <v>0</v>
      </c>
      <c r="V82" s="218">
        <f>IF(M84&gt;1,L84,0)</f>
        <v>0</v>
      </c>
      <c r="W82" s="218">
        <f>IF(M85&gt;1,L85,0)</f>
        <v>0</v>
      </c>
      <c r="X82" s="218">
        <f>IF(M86&gt;1,L86,0)</f>
        <v>0</v>
      </c>
      <c r="Y82" s="218">
        <f>IF(M87&gt;1,L87,0)</f>
        <v>0</v>
      </c>
    </row>
    <row r="83" spans="1:29" ht="12.75">
      <c r="A83" s="182">
        <f>IF(C80='Phase de poule'!C8,'Phase de poule'!C9,IF(C80='Phase de poule'!C9,'Phase de poule'!C8," "))</f>
      </c>
      <c r="B83" s="131">
        <f>_xlfn.IFERROR(VLOOKUP(C80,tour_1,2,FALSE),"")</f>
        <v>0</v>
      </c>
      <c r="C83" s="131">
        <f>_xlfn.IFERROR(VLOOKUP(C80,tour_1,3,FALSE),"")</f>
        <v>0</v>
      </c>
      <c r="D83" s="131">
        <f>_xlfn.IFERROR(VLOOKUP(C80,tour_1,4,FALSE),"")</f>
        <v>0</v>
      </c>
      <c r="E83" s="101">
        <f>_xlfn.IFERROR(VLOOKUP(C80,tour_1,6,FALSE),"")</f>
      </c>
      <c r="F83" s="131">
        <f>_xlfn.IFERROR(VLOOKUP(C80,tour_1,5,FALSE),"")</f>
        <v>0</v>
      </c>
      <c r="G83" s="4"/>
      <c r="H83" s="182">
        <f>IF(J80='Phase de poule'!C10,'Phase de poule'!C11,IF(J80='Phase de poule'!C11,'Phase de poule'!C10," "))</f>
      </c>
      <c r="I83" s="131">
        <f>_xlfn.IFERROR(VLOOKUP(J80,tour_1,2,FALSE),"")</f>
        <v>0</v>
      </c>
      <c r="J83" s="131">
        <f>_xlfn.IFERROR(VLOOKUP(J80,tour_1,3,FALSE),"")</f>
        <v>0</v>
      </c>
      <c r="K83" s="131">
        <f>_xlfn.IFERROR(VLOOKUP(J80,tour_1,4,FALSE),"")</f>
        <v>0</v>
      </c>
      <c r="L83" s="101">
        <f>_xlfn.IFERROR(VLOOKUP(J80,tour_1,6,FALSE),"")</f>
      </c>
      <c r="M83" s="131">
        <f>_xlfn.IFERROR(VLOOKUP(J80,tour_1,5,FALSE),"")</f>
        <v>0</v>
      </c>
      <c r="Y83" s="127"/>
      <c r="Z83" s="127"/>
      <c r="AA83" s="127"/>
      <c r="AB83" s="127"/>
      <c r="AC83" s="211"/>
    </row>
    <row r="84" spans="1:29" ht="12.75">
      <c r="A84" s="182">
        <f>IF(C80='Phase de poule'!C17,'Phase de poule'!C18,IF(C80='Phase de poule'!C18,'Phase de poule'!C17," "))</f>
      </c>
      <c r="B84" s="131">
        <f>_xlfn.IFERROR(VLOOKUP(C80,tour_2,2,FALSE),"")</f>
        <v>0</v>
      </c>
      <c r="C84" s="131">
        <f>_xlfn.IFERROR(VLOOKUP(C80,tour_2,3,FALSE),"")</f>
        <v>0</v>
      </c>
      <c r="D84" s="131">
        <f>_xlfn.IFERROR(VLOOKUP(C80,tour_2,4,FALSE),"")</f>
        <v>0</v>
      </c>
      <c r="E84" s="101">
        <f>_xlfn.IFERROR(VLOOKUP(C80,tour_2,6,FALSE),"")</f>
      </c>
      <c r="F84" s="131">
        <f>_xlfn.IFERROR(VLOOKUP(C80,tour_2,5,FALSE),"")</f>
        <v>0</v>
      </c>
      <c r="G84" s="4"/>
      <c r="H84" s="182">
        <f>IF(J80='Phase de poule'!C19,'Phase de poule'!C20,IF(J80='Phase de poule'!C20,'Phase de poule'!C19," "))</f>
      </c>
      <c r="I84" s="131">
        <f>_xlfn.IFERROR(VLOOKUP(J80,tour_2,2,FALSE),"")</f>
        <v>0</v>
      </c>
      <c r="J84" s="131">
        <f>_xlfn.IFERROR(VLOOKUP(J80,tour_2,3,FALSE),"")</f>
        <v>0</v>
      </c>
      <c r="K84" s="131">
        <f>_xlfn.IFERROR(VLOOKUP(J80,tour_2,4,FALSE),"")</f>
        <v>0</v>
      </c>
      <c r="L84" s="101">
        <f>_xlfn.IFERROR(VLOOKUP(J80,tour_2,6,FALSE),"")</f>
      </c>
      <c r="M84" s="131">
        <f>_xlfn.IFERROR(VLOOKUP(J80,tour_2,5,FALSE),"")</f>
        <v>0</v>
      </c>
      <c r="Y84" s="127"/>
      <c r="Z84" s="127"/>
      <c r="AA84" s="127"/>
      <c r="AB84" s="127"/>
      <c r="AC84" s="211"/>
    </row>
    <row r="85" spans="1:29" ht="12.75" customHeight="1">
      <c r="A85" s="182">
        <f>IF(C80='Phase de poule'!C26,'Phase de poule'!C27,IF(C80='Phase de poule'!C27,'Phase de poule'!C26," "))</f>
      </c>
      <c r="B85" s="131">
        <f>_xlfn.IFERROR(VLOOKUP(C80,tour_3,2,FALSE),"")</f>
        <v>0</v>
      </c>
      <c r="C85" s="131">
        <f>_xlfn.IFERROR(VLOOKUP(C80,tour_3,3,FALSE),"")</f>
        <v>0</v>
      </c>
      <c r="D85" s="131">
        <f>_xlfn.IFERROR(VLOOKUP(C80,tour_3,4,FALSE),"")</f>
        <v>0</v>
      </c>
      <c r="E85" s="101">
        <f>_xlfn.IFERROR(VLOOKUP(C80,tour_3,6,FALSE),"")</f>
      </c>
      <c r="F85" s="131">
        <f>_xlfn.IFERROR(VLOOKUP(C80,tour_3,5,FALSE),"")</f>
        <v>0</v>
      </c>
      <c r="G85" s="4"/>
      <c r="H85" s="182">
        <f>IF(J80='Phase de poule'!C28,'Phase de poule'!C29,IF(J80='Phase de poule'!C29,'Phase de poule'!C28," "))</f>
      </c>
      <c r="I85" s="131">
        <f>_xlfn.IFERROR(VLOOKUP(J80,tour_3,2,FALSE),"")</f>
        <v>0</v>
      </c>
      <c r="J85" s="131">
        <f>_xlfn.IFERROR(VLOOKUP(J80,tour_3,3,FALSE),"")</f>
        <v>0</v>
      </c>
      <c r="K85" s="131">
        <f>_xlfn.IFERROR(VLOOKUP(J80,tour_3,4,FALSE),"")</f>
        <v>0</v>
      </c>
      <c r="L85" s="101">
        <f>_xlfn.IFERROR(VLOOKUP(J80,tour_3,6,FALSE),"")</f>
      </c>
      <c r="M85" s="131">
        <f>_xlfn.IFERROR(VLOOKUP(J80,tour_3,5,FALSE),"")</f>
        <v>0</v>
      </c>
      <c r="Y85" s="127"/>
      <c r="Z85" s="127"/>
      <c r="AA85" s="127"/>
      <c r="AB85" s="127"/>
      <c r="AC85" s="211"/>
    </row>
    <row r="86" spans="1:29" ht="12.75">
      <c r="A86" s="182">
        <f>_xlfn.IFERROR(VLOOKUP(C80,tour_num_4,2,FALSE),"")</f>
      </c>
      <c r="B86" s="132">
        <f>_xlfn.IFERROR(VLOOKUP(C80,tour_num_4,3,FALSE),"")</f>
        <v>0</v>
      </c>
      <c r="C86" s="132">
        <f>_xlfn.IFERROR(VLOOKUP(C80,tour_num_4,4,FALSE),"")</f>
        <v>0</v>
      </c>
      <c r="D86" s="132">
        <f>_xlfn.IFERROR(VLOOKUP(C80,tour_num_4,5,FALSE),"")</f>
        <v>0</v>
      </c>
      <c r="E86" s="133">
        <f>_xlfn.IFERROR(VLOOKUP(C80,tour_num_4,7,FALSE),"")</f>
      </c>
      <c r="F86" s="131">
        <f>_xlfn.IFERROR(VLOOKUP(C80,tour_num_4,6,FALSE),"")</f>
        <v>0</v>
      </c>
      <c r="G86" s="4"/>
      <c r="H86" s="182">
        <f>_xlfn.IFERROR(VLOOKUP(J80,tour_num_4,2,FALSE),"")</f>
      </c>
      <c r="I86" s="132">
        <f>_xlfn.IFERROR(VLOOKUP(J80,tour_num_4,3,FALSE),"")</f>
        <v>0</v>
      </c>
      <c r="J86" s="132">
        <f>_xlfn.IFERROR(VLOOKUP(J80,tour_num_4,4,FALSE),"")</f>
        <v>0</v>
      </c>
      <c r="K86" s="132">
        <f>_xlfn.IFERROR(VLOOKUP(J80,tour_num_4,5,FALSE),"")</f>
        <v>0</v>
      </c>
      <c r="L86" s="133">
        <f>_xlfn.IFERROR(VLOOKUP(J80,tour_num_4,7,FALSE),"")</f>
      </c>
      <c r="M86" s="131">
        <f>_xlfn.IFERROR(VLOOKUP(J80,tour_num_4,6,FALSE),"")</f>
        <v>0</v>
      </c>
      <c r="Y86" s="127"/>
      <c r="Z86" s="127"/>
      <c r="AA86" s="127"/>
      <c r="AB86" s="127"/>
      <c r="AC86" s="211"/>
    </row>
    <row r="87" spans="1:29" ht="12.75">
      <c r="A87" s="182">
        <f>_xlfn.IFERROR(VLOOKUP(C80,tour_num_5,2,FALSE),"")</f>
      </c>
      <c r="B87" s="132">
        <f>_xlfn.IFERROR(VLOOKUP(C80,tour_num_5,3,FALSE),"")</f>
        <v>0</v>
      </c>
      <c r="C87" s="132">
        <f>_xlfn.IFERROR(VLOOKUP(C80,tour_num_5,4,FALSE),"")</f>
        <v>0</v>
      </c>
      <c r="D87" s="132">
        <f>_xlfn.IFERROR(VLOOKUP(C80,tour_num_5,5,FALSE),"")</f>
        <v>0</v>
      </c>
      <c r="E87" s="133">
        <f>_xlfn.IFERROR(VLOOKUP(C80,tour_num_5,7,FALSE),"")</f>
      </c>
      <c r="F87" s="131">
        <f>_xlfn.IFERROR(VLOOKUP(C80,tour_num_5,6,FALSE),"")</f>
        <v>0</v>
      </c>
      <c r="G87" s="4"/>
      <c r="H87" s="182">
        <f>_xlfn.IFERROR(VLOOKUP(J80,tour_num_5,2,FALSE),"")</f>
      </c>
      <c r="I87" s="132">
        <f>_xlfn.IFERROR(VLOOKUP(J80,tour_num_5,3,FALSE),"")</f>
        <v>0</v>
      </c>
      <c r="J87" s="132">
        <f>_xlfn.IFERROR(VLOOKUP(J80,tour_num_5,4,FALSE),"")</f>
        <v>0</v>
      </c>
      <c r="K87" s="132">
        <f>_xlfn.IFERROR(VLOOKUP(J80,tour_num_5,5,FALSE),"")</f>
        <v>0</v>
      </c>
      <c r="L87" s="133">
        <f>_xlfn.IFERROR(VLOOKUP(J80,tour_num_5,7,FALSE),"")</f>
      </c>
      <c r="M87" s="131">
        <f>_xlfn.IFERROR(VLOOKUP(J80,tour_num_5,6,FALSE),"")</f>
        <v>0</v>
      </c>
      <c r="Y87" s="127"/>
      <c r="Z87" s="127"/>
      <c r="AA87" s="127"/>
      <c r="AB87" s="127"/>
      <c r="AC87" s="211"/>
    </row>
    <row r="88" spans="1:29" ht="3.75" customHeight="1">
      <c r="A88" s="60"/>
      <c r="B88" s="61"/>
      <c r="C88" s="61"/>
      <c r="D88" s="62"/>
      <c r="E88" s="63"/>
      <c r="F88" s="59"/>
      <c r="G88" s="4"/>
      <c r="H88" s="60"/>
      <c r="I88" s="61"/>
      <c r="J88" s="61"/>
      <c r="K88" s="62"/>
      <c r="L88" s="63"/>
      <c r="M88" s="59"/>
      <c r="Y88" s="212"/>
      <c r="Z88" s="212"/>
      <c r="AA88" s="127"/>
      <c r="AB88" s="127"/>
      <c r="AC88" s="211"/>
    </row>
    <row r="89" spans="1:29" ht="13.5">
      <c r="A89" s="46" t="s">
        <v>25</v>
      </c>
      <c r="B89" s="280">
        <f>SUM(B83:B87)</f>
        <v>0</v>
      </c>
      <c r="C89" s="280">
        <f>SUM(C83:C87)</f>
        <v>0</v>
      </c>
      <c r="D89" s="280">
        <f>MAX(D83:D87)</f>
        <v>0</v>
      </c>
      <c r="E89" s="281">
        <f>IF(C89&gt;0,B89/C89,0)</f>
        <v>0</v>
      </c>
      <c r="F89" s="282">
        <f>SUM(F83:F87)</f>
        <v>0</v>
      </c>
      <c r="G89" s="4"/>
      <c r="H89" s="46" t="s">
        <v>25</v>
      </c>
      <c r="I89" s="280">
        <f>SUM(I83:I87)</f>
        <v>0</v>
      </c>
      <c r="J89" s="280">
        <f>SUM(J83:J87)</f>
        <v>0</v>
      </c>
      <c r="K89" s="280">
        <f>MAX(K83:K87)</f>
        <v>0</v>
      </c>
      <c r="L89" s="281">
        <f>IF(J89&gt;0,I89/J89,0)</f>
        <v>0</v>
      </c>
      <c r="M89" s="282">
        <f>SUM(M83:M87)</f>
        <v>0</v>
      </c>
      <c r="Y89" s="127"/>
      <c r="Z89" s="127"/>
      <c r="AA89" s="127"/>
      <c r="AB89" s="127"/>
      <c r="AC89" s="211"/>
    </row>
    <row r="90" spans="1:29" ht="4.5" customHeight="1">
      <c r="A90" s="47"/>
      <c r="B90" s="33"/>
      <c r="C90" s="33"/>
      <c r="D90" s="28"/>
      <c r="E90" s="33"/>
      <c r="F90" s="48"/>
      <c r="G90" s="4"/>
      <c r="H90" s="47"/>
      <c r="I90" s="33"/>
      <c r="J90" s="33"/>
      <c r="K90" s="28"/>
      <c r="L90" s="33"/>
      <c r="M90" s="48"/>
      <c r="Y90" s="127"/>
      <c r="Z90" s="127"/>
      <c r="AA90" s="127"/>
      <c r="AB90" s="127"/>
      <c r="AC90" s="211"/>
    </row>
    <row r="91" spans="1:29" ht="13.5">
      <c r="A91" s="50" t="s">
        <v>228</v>
      </c>
      <c r="B91" s="284">
        <f>IF(Participants!G19&lt;&gt;"",Participants!G19,"")</f>
      </c>
      <c r="C91" s="406" t="s">
        <v>27</v>
      </c>
      <c r="D91" s="407"/>
      <c r="E91" s="407"/>
      <c r="F91" s="52">
        <f>MAX(O82:S82)</f>
        <v>0</v>
      </c>
      <c r="G91" s="4"/>
      <c r="H91" s="50" t="s">
        <v>228</v>
      </c>
      <c r="I91" s="284">
        <f>IF(Participants!G23&lt;&gt;"",Participants!G23,"")</f>
      </c>
      <c r="J91" s="406" t="s">
        <v>27</v>
      </c>
      <c r="K91" s="407"/>
      <c r="L91" s="407"/>
      <c r="M91" s="52">
        <f>MAX(V82:Z82)</f>
        <v>0</v>
      </c>
      <c r="Y91" s="127"/>
      <c r="Z91" s="127"/>
      <c r="AA91" s="127"/>
      <c r="AB91" s="127"/>
      <c r="AC91" s="211"/>
    </row>
    <row r="92" spans="1:29" ht="13.5">
      <c r="A92" s="50" t="s">
        <v>300</v>
      </c>
      <c r="B92" s="284">
        <f>F89</f>
        <v>0</v>
      </c>
      <c r="C92" s="283" t="s">
        <v>299</v>
      </c>
      <c r="D92" s="274">
        <f>IF($S$6=0,_xlfn.IFERROR(VLOOKUP(C80,classement,4,FALSE),""),0)</f>
        <v>0</v>
      </c>
      <c r="E92" s="30"/>
      <c r="F92" s="123"/>
      <c r="G92" s="4"/>
      <c r="H92" s="50" t="s">
        <v>300</v>
      </c>
      <c r="I92" s="284">
        <f>M89</f>
        <v>0</v>
      </c>
      <c r="J92" s="283" t="s">
        <v>299</v>
      </c>
      <c r="K92" s="274">
        <f>IF($S$6=0,_xlfn.IFERROR(VLOOKUP(J80,classement,4,FALSE),""),0)</f>
        <v>0</v>
      </c>
      <c r="L92" s="30"/>
      <c r="M92" s="123"/>
      <c r="Y92" s="127"/>
      <c r="Z92" s="127"/>
      <c r="AA92" s="127"/>
      <c r="AB92" s="127"/>
      <c r="AC92" s="211"/>
    </row>
    <row r="93" spans="1:29" ht="13.5">
      <c r="A93" s="50" t="s">
        <v>26</v>
      </c>
      <c r="B93" s="284">
        <f>IF($S$6=0,_xlfn.IFERROR(VLOOKUP(C80,classement,5,FALSE),0),"")</f>
      </c>
      <c r="C93" s="54" t="s">
        <v>28</v>
      </c>
      <c r="D93" s="51"/>
      <c r="E93" s="29"/>
      <c r="F93" s="55"/>
      <c r="G93" s="4"/>
      <c r="H93" s="50" t="s">
        <v>26</v>
      </c>
      <c r="I93" s="284">
        <f>IF($S$6=0,_xlfn.IFERROR(VLOOKUP(J80,classement,5,FALSE),0),"")</f>
      </c>
      <c r="J93" s="54" t="s">
        <v>28</v>
      </c>
      <c r="K93" s="51"/>
      <c r="L93" s="29"/>
      <c r="M93" s="55"/>
      <c r="Y93" s="127"/>
      <c r="Z93" s="127"/>
      <c r="AA93" s="127"/>
      <c r="AB93" s="127"/>
      <c r="AC93" s="211"/>
    </row>
    <row r="94" spans="1:29" ht="12.75">
      <c r="A94" s="56" t="s">
        <v>229</v>
      </c>
      <c r="B94" s="275">
        <f>SUM(B91,B93,F89)</f>
        <v>0</v>
      </c>
      <c r="C94" s="57"/>
      <c r="D94" s="124"/>
      <c r="E94" s="124"/>
      <c r="F94" s="125"/>
      <c r="G94" s="4"/>
      <c r="H94" s="56" t="s">
        <v>229</v>
      </c>
      <c r="I94" s="275">
        <f>SUM(I91,I93,M89)</f>
        <v>0</v>
      </c>
      <c r="J94" s="57"/>
      <c r="K94" s="124"/>
      <c r="L94" s="124"/>
      <c r="M94" s="125"/>
      <c r="Y94" s="127"/>
      <c r="Z94" s="127"/>
      <c r="AA94" s="127"/>
      <c r="AB94" s="127"/>
      <c r="AC94" s="211"/>
    </row>
    <row r="95" spans="1:29" ht="12.75">
      <c r="A95" s="34"/>
      <c r="B95" s="36"/>
      <c r="C95" s="36"/>
      <c r="D95" s="36"/>
      <c r="E95" s="36"/>
      <c r="F95" s="36"/>
      <c r="G95" s="4"/>
      <c r="H95" s="34"/>
      <c r="I95" s="36"/>
      <c r="J95" s="36"/>
      <c r="K95" s="36"/>
      <c r="L95" s="36"/>
      <c r="M95" s="36"/>
      <c r="Y95" s="127"/>
      <c r="Z95" s="127"/>
      <c r="AA95" s="127"/>
      <c r="AB95" s="127"/>
      <c r="AC95" s="211"/>
    </row>
    <row r="96" spans="1:29" ht="12.75">
      <c r="A96" s="38" t="s">
        <v>41</v>
      </c>
      <c r="B96" s="39"/>
      <c r="C96" s="402">
        <f>IF(Participants!D20="","",Participants!D20)</f>
      </c>
      <c r="D96" s="402"/>
      <c r="E96" s="402"/>
      <c r="F96" s="403"/>
      <c r="G96" s="4"/>
      <c r="H96" s="38" t="s">
        <v>159</v>
      </c>
      <c r="I96" s="39"/>
      <c r="J96" s="402">
        <f>IF(Participants!D24="","",Participants!D24)</f>
      </c>
      <c r="K96" s="402"/>
      <c r="L96" s="402"/>
      <c r="M96" s="403"/>
      <c r="Y96" s="127"/>
      <c r="Z96" s="127"/>
      <c r="AA96" s="127"/>
      <c r="AB96" s="127"/>
      <c r="AC96" s="211"/>
    </row>
    <row r="97" spans="1:29" ht="12.75">
      <c r="A97" s="41" t="str">
        <f>IF(Participants!F20="","",Participants!F20)</f>
        <v> </v>
      </c>
      <c r="B97" s="42" t="s">
        <v>23</v>
      </c>
      <c r="C97" s="397" t="str">
        <f>IF(Participants!E20="","",Participants!E20)</f>
        <v> </v>
      </c>
      <c r="D97" s="397"/>
      <c r="E97" s="397"/>
      <c r="F97" s="398"/>
      <c r="G97" s="4"/>
      <c r="H97" s="41" t="str">
        <f>IF(Participants!F24="","",Participants!F24)</f>
        <v> </v>
      </c>
      <c r="I97" s="42" t="s">
        <v>23</v>
      </c>
      <c r="J97" s="397" t="str">
        <f>IF(Participants!E24="","",Participants!E24)</f>
        <v> </v>
      </c>
      <c r="K97" s="397"/>
      <c r="L97" s="397"/>
      <c r="M97" s="398"/>
      <c r="O97" s="392">
        <f>C96</f>
      </c>
      <c r="P97" s="393"/>
      <c r="Q97" s="393"/>
      <c r="R97" s="393"/>
      <c r="S97" s="394"/>
      <c r="U97" s="392">
        <f>J96</f>
      </c>
      <c r="V97" s="393"/>
      <c r="W97" s="393"/>
      <c r="X97" s="393"/>
      <c r="Y97" s="394"/>
      <c r="Z97" s="127"/>
      <c r="AA97" s="127"/>
      <c r="AB97" s="127"/>
      <c r="AC97" s="211"/>
    </row>
    <row r="98" spans="1:29" ht="16.5" customHeight="1">
      <c r="A98" s="115"/>
      <c r="B98" s="111" t="s">
        <v>7</v>
      </c>
      <c r="C98" s="111" t="s">
        <v>8</v>
      </c>
      <c r="D98" s="114" t="s">
        <v>9</v>
      </c>
      <c r="E98" s="112" t="s">
        <v>11</v>
      </c>
      <c r="F98" s="43" t="s">
        <v>24</v>
      </c>
      <c r="G98" s="4"/>
      <c r="H98" s="115"/>
      <c r="I98" s="111" t="s">
        <v>7</v>
      </c>
      <c r="J98" s="111" t="s">
        <v>8</v>
      </c>
      <c r="K98" s="114" t="s">
        <v>9</v>
      </c>
      <c r="L98" s="112" t="s">
        <v>11</v>
      </c>
      <c r="M98" s="43" t="s">
        <v>24</v>
      </c>
      <c r="O98" s="218">
        <f>IF(F99&gt;1,E99,0)</f>
        <v>0</v>
      </c>
      <c r="P98" s="218">
        <f>IF(F100&gt;1,E100,0)</f>
        <v>0</v>
      </c>
      <c r="Q98" s="218">
        <f>IF(F101&gt;1,E101,0)</f>
        <v>0</v>
      </c>
      <c r="R98" s="218">
        <f>IF(F102&gt;1,E102,0)</f>
        <v>0</v>
      </c>
      <c r="S98" s="218">
        <f>IF(F103&gt;1,E103,0)</f>
        <v>0</v>
      </c>
      <c r="U98" s="218">
        <f>IF(M99&gt;1,L99,0)</f>
        <v>0</v>
      </c>
      <c r="V98" s="218">
        <f>IF(M100&gt;1,L100,0)</f>
        <v>0</v>
      </c>
      <c r="W98" s="218">
        <f>IF(M101&gt;1,L101,0)</f>
        <v>0</v>
      </c>
      <c r="X98" s="218">
        <f>IF(M102&gt;1,L102,0)</f>
        <v>0</v>
      </c>
      <c r="Y98" s="218">
        <f>IF(M103&gt;1,L103,0)</f>
        <v>0</v>
      </c>
      <c r="Z98" s="127"/>
      <c r="AA98" s="127"/>
      <c r="AB98" s="127"/>
      <c r="AC98" s="211"/>
    </row>
    <row r="99" spans="1:29" ht="12.75">
      <c r="A99" s="182">
        <f>IF(C96='Phase de poule'!C8,'Phase de poule'!C9,IF(C96='Phase de poule'!C9,'Phase de poule'!C8," "))</f>
      </c>
      <c r="B99" s="131">
        <f>_xlfn.IFERROR(VLOOKUP(C96,tour_1,2,FALSE),"")</f>
        <v>0</v>
      </c>
      <c r="C99" s="131">
        <f>_xlfn.IFERROR(VLOOKUP(C96,tour_1,3,FALSE),"")</f>
        <v>0</v>
      </c>
      <c r="D99" s="131">
        <f>_xlfn.IFERROR(VLOOKUP(C96,tour_1,4,FALSE),"")</f>
        <v>0</v>
      </c>
      <c r="E99" s="101">
        <f>_xlfn.IFERROR(VLOOKUP(C96,tour_1,6,FALSE),"")</f>
      </c>
      <c r="F99" s="131">
        <f>_xlfn.IFERROR(VLOOKUP(C96,tour_1,5,FALSE),"")</f>
        <v>0</v>
      </c>
      <c r="G99" s="4"/>
      <c r="H99" s="182">
        <f>IF(J96='Phase de poule'!C10,'Phase de poule'!C11,IF(J96='Phase de poule'!C11,'Phase de poule'!C10," "))</f>
      </c>
      <c r="I99" s="131">
        <f>_xlfn.IFERROR(VLOOKUP(J96,tour_1,2,FALSE),"")</f>
        <v>0</v>
      </c>
      <c r="J99" s="131">
        <f>_xlfn.IFERROR(VLOOKUP(J96,tour_1,3,FALSE),"")</f>
        <v>0</v>
      </c>
      <c r="K99" s="131">
        <f>_xlfn.IFERROR(VLOOKUP(J96,tour_1,4,FALSE),"")</f>
        <v>0</v>
      </c>
      <c r="L99" s="101">
        <f>_xlfn.IFERROR(VLOOKUP(J96,tour_1,6,FALSE),"")</f>
      </c>
      <c r="M99" s="131">
        <f>_xlfn.IFERROR(VLOOKUP(J96,tour_1,5,FALSE),"")</f>
        <v>0</v>
      </c>
      <c r="Y99" s="127"/>
      <c r="Z99" s="127"/>
      <c r="AA99" s="127"/>
      <c r="AB99" s="127"/>
      <c r="AC99" s="211"/>
    </row>
    <row r="100" spans="1:29" ht="12.75">
      <c r="A100" s="182">
        <f>IF(C96='Phase de poule'!C17,'Phase de poule'!C18,IF(C96='Phase de poule'!C18,'Phase de poule'!C17," "))</f>
      </c>
      <c r="B100" s="131">
        <f>_xlfn.IFERROR(VLOOKUP(C96,tour_2,2,FALSE),"")</f>
        <v>0</v>
      </c>
      <c r="C100" s="131">
        <f>_xlfn.IFERROR(VLOOKUP(C96,tour_2,3,FALSE),"")</f>
        <v>0</v>
      </c>
      <c r="D100" s="131">
        <f>_xlfn.IFERROR(VLOOKUP(C96,tour_2,4,FALSE),"")</f>
        <v>0</v>
      </c>
      <c r="E100" s="101">
        <f>_xlfn.IFERROR(VLOOKUP(C96,tour_2,6,FALSE),"")</f>
      </c>
      <c r="F100" s="131">
        <f>_xlfn.IFERROR(VLOOKUP(C96,tour_2,5,FALSE),"")</f>
        <v>0</v>
      </c>
      <c r="G100" s="4"/>
      <c r="H100" s="182">
        <f>IF(J96='Phase de poule'!C19,'Phase de poule'!C20,IF(J96='Phase de poule'!C20,'Phase de poule'!C19," "))</f>
      </c>
      <c r="I100" s="131">
        <f>_xlfn.IFERROR(VLOOKUP(J96,tour_2,2,FALSE),"")</f>
        <v>0</v>
      </c>
      <c r="J100" s="131">
        <f>_xlfn.IFERROR(VLOOKUP(J96,tour_2,3,FALSE),"")</f>
        <v>0</v>
      </c>
      <c r="K100" s="131">
        <f>_xlfn.IFERROR(VLOOKUP(J96,tour_2,4,FALSE),"")</f>
        <v>0</v>
      </c>
      <c r="L100" s="101">
        <f>_xlfn.IFERROR(VLOOKUP(J96,tour_2,6,FALSE),"")</f>
      </c>
      <c r="M100" s="131">
        <f>_xlfn.IFERROR(VLOOKUP(J96,tour_2,5,FALSE),"")</f>
        <v>0</v>
      </c>
      <c r="Y100" s="127"/>
      <c r="Z100" s="127"/>
      <c r="AA100" s="127"/>
      <c r="AB100" s="127"/>
      <c r="AC100" s="211"/>
    </row>
    <row r="101" spans="1:29" ht="12.75" customHeight="1">
      <c r="A101" s="182">
        <f>IF(C96='Phase de poule'!C26,'Phase de poule'!C27,IF(C96='Phase de poule'!C27,'Phase de poule'!C26," "))</f>
      </c>
      <c r="B101" s="131">
        <f>_xlfn.IFERROR(VLOOKUP(C96,tour_3,2,FALSE),"")</f>
        <v>0</v>
      </c>
      <c r="C101" s="131">
        <f>_xlfn.IFERROR(VLOOKUP(C96,tour_3,3,FALSE),"")</f>
        <v>0</v>
      </c>
      <c r="D101" s="131">
        <f>_xlfn.IFERROR(VLOOKUP(C96,tour_3,4,FALSE),"")</f>
        <v>0</v>
      </c>
      <c r="E101" s="101">
        <f>_xlfn.IFERROR(VLOOKUP(C96,tour_3,6,FALSE),"")</f>
      </c>
      <c r="F101" s="131">
        <f>_xlfn.IFERROR(VLOOKUP(C96,tour_3,5,FALSE),"")</f>
        <v>0</v>
      </c>
      <c r="G101" s="4"/>
      <c r="H101" s="182">
        <f>IF(J96='Phase de poule'!C28,'Phase de poule'!C29,IF(J96='Phase de poule'!C29,'Phase de poule'!C28," "))</f>
      </c>
      <c r="I101" s="131">
        <f>_xlfn.IFERROR(VLOOKUP(J96,tour_3,2,FALSE),"")</f>
        <v>0</v>
      </c>
      <c r="J101" s="131">
        <f>_xlfn.IFERROR(VLOOKUP(J96,tour_3,3,FALSE),"")</f>
        <v>0</v>
      </c>
      <c r="K101" s="131">
        <f>_xlfn.IFERROR(VLOOKUP(J96,tour_3,4,FALSE),"")</f>
        <v>0</v>
      </c>
      <c r="L101" s="101">
        <f>_xlfn.IFERROR(VLOOKUP(J96,tour_3,6,FALSE),"")</f>
      </c>
      <c r="M101" s="131">
        <f>_xlfn.IFERROR(VLOOKUP(J96,tour_3,5,FALSE),"")</f>
        <v>0</v>
      </c>
      <c r="Y101" s="127"/>
      <c r="Z101" s="127"/>
      <c r="AA101" s="127"/>
      <c r="AB101" s="127"/>
      <c r="AC101" s="211"/>
    </row>
    <row r="102" spans="1:13" ht="12.75">
      <c r="A102" s="182">
        <f>_xlfn.IFERROR(VLOOKUP(C96,tour_num_4,2,FALSE),"")</f>
      </c>
      <c r="B102" s="132">
        <f>_xlfn.IFERROR(VLOOKUP(C96,tour_num_4,3,FALSE),"")</f>
        <v>0</v>
      </c>
      <c r="C102" s="132">
        <f>_xlfn.IFERROR(VLOOKUP(C96,tour_num_4,4,FALSE),"")</f>
        <v>0</v>
      </c>
      <c r="D102" s="132">
        <f>_xlfn.IFERROR(VLOOKUP(C96,tour_num_4,5,FALSE),"")</f>
        <v>0</v>
      </c>
      <c r="E102" s="133">
        <f>_xlfn.IFERROR(VLOOKUP(C96,tour_num_4,7,FALSE),"")</f>
      </c>
      <c r="F102" s="131">
        <f>_xlfn.IFERROR(VLOOKUP(C96,tour_num_4,6,FALSE),"")</f>
        <v>0</v>
      </c>
      <c r="G102" s="4"/>
      <c r="H102" s="182">
        <f>_xlfn.IFERROR(VLOOKUP(J96,tour_num_4,2,FALSE),"")</f>
      </c>
      <c r="I102" s="132">
        <f>_xlfn.IFERROR(VLOOKUP(J96,tour_num_4,3,FALSE),"")</f>
        <v>0</v>
      </c>
      <c r="J102" s="132">
        <f>_xlfn.IFERROR(VLOOKUP(J96,tour_num_4,4,FALSE),"")</f>
        <v>0</v>
      </c>
      <c r="K102" s="132">
        <f>_xlfn.IFERROR(VLOOKUP(J96,tour_num_4,5,FALSE),"")</f>
        <v>0</v>
      </c>
      <c r="L102" s="133">
        <f>_xlfn.IFERROR(VLOOKUP(J96,tour_num_4,7,FALSE),"")</f>
      </c>
      <c r="M102" s="131">
        <f>_xlfn.IFERROR(VLOOKUP(J96,tour_num_4,6,FALSE),"")</f>
        <v>0</v>
      </c>
    </row>
    <row r="103" spans="1:13" ht="12.75">
      <c r="A103" s="182">
        <f>_xlfn.IFERROR(VLOOKUP(C96,tour_num_5,2,FALSE),"")</f>
      </c>
      <c r="B103" s="132">
        <f>_xlfn.IFERROR(VLOOKUP(C96,tour_num_5,3,FALSE),"")</f>
        <v>0</v>
      </c>
      <c r="C103" s="132">
        <f>_xlfn.IFERROR(VLOOKUP(C96,tour_num_5,4,FALSE),"")</f>
        <v>0</v>
      </c>
      <c r="D103" s="132">
        <f>_xlfn.IFERROR(VLOOKUP(C96,tour_num_5,5,FALSE),"")</f>
        <v>0</v>
      </c>
      <c r="E103" s="133">
        <f>_xlfn.IFERROR(VLOOKUP(C96,tour_num_5,7,FALSE),"")</f>
      </c>
      <c r="F103" s="131">
        <f>_xlfn.IFERROR(VLOOKUP(C96,tour_num_5,6,FALSE),"")</f>
        <v>0</v>
      </c>
      <c r="G103" s="4"/>
      <c r="H103" s="182">
        <f>_xlfn.IFERROR(VLOOKUP(J96,tour_num_5,2,FALSE),"")</f>
      </c>
      <c r="I103" s="132">
        <f>_xlfn.IFERROR(VLOOKUP(J96,tour_num_5,3,FALSE),"")</f>
        <v>0</v>
      </c>
      <c r="J103" s="132">
        <f>_xlfn.IFERROR(VLOOKUP(J96,tour_num_5,4,FALSE),"")</f>
        <v>0</v>
      </c>
      <c r="K103" s="132">
        <f>_xlfn.IFERROR(VLOOKUP(J96,tour_num_5,5,FALSE),"")</f>
        <v>0</v>
      </c>
      <c r="L103" s="133">
        <f>_xlfn.IFERROR(VLOOKUP(J96,tour_num_5,7,FALSE),"")</f>
      </c>
      <c r="M103" s="131">
        <f>_xlfn.IFERROR(VLOOKUP(J96,tour_num_5,6,FALSE),"")</f>
        <v>0</v>
      </c>
    </row>
    <row r="104" spans="1:13" ht="3.75" customHeight="1">
      <c r="A104" s="60"/>
      <c r="B104" s="61"/>
      <c r="C104" s="61"/>
      <c r="D104" s="62"/>
      <c r="E104" s="63"/>
      <c r="F104" s="59"/>
      <c r="G104" s="4"/>
      <c r="H104" s="60"/>
      <c r="I104" s="61"/>
      <c r="J104" s="61"/>
      <c r="K104" s="62"/>
      <c r="L104" s="63"/>
      <c r="M104" s="59"/>
    </row>
    <row r="105" spans="1:13" ht="13.5">
      <c r="A105" s="46" t="s">
        <v>25</v>
      </c>
      <c r="B105" s="280">
        <f>SUM(B99:B103)</f>
        <v>0</v>
      </c>
      <c r="C105" s="280">
        <f>SUM(C99:C103)</f>
        <v>0</v>
      </c>
      <c r="D105" s="280">
        <f>MAX(D99:D103)</f>
        <v>0</v>
      </c>
      <c r="E105" s="281">
        <f>IF(C105&gt;0,B105/C105,0)</f>
        <v>0</v>
      </c>
      <c r="F105" s="282">
        <f>SUM(F99:F103)</f>
        <v>0</v>
      </c>
      <c r="G105" s="4"/>
      <c r="H105" s="46" t="s">
        <v>25</v>
      </c>
      <c r="I105" s="280">
        <f>SUM(I99:I103)</f>
        <v>0</v>
      </c>
      <c r="J105" s="280">
        <f>SUM(J99:J103)</f>
        <v>0</v>
      </c>
      <c r="K105" s="280">
        <f>MAX(K99:K103)</f>
        <v>0</v>
      </c>
      <c r="L105" s="281">
        <f>IF(J105&gt;0,I105/J105,0)</f>
        <v>0</v>
      </c>
      <c r="M105" s="282">
        <f>SUM(M99:M103)</f>
        <v>0</v>
      </c>
    </row>
    <row r="106" spans="1:13" ht="4.5" customHeight="1">
      <c r="A106" s="47"/>
      <c r="B106" s="33"/>
      <c r="C106" s="33"/>
      <c r="D106" s="28"/>
      <c r="E106" s="33"/>
      <c r="F106" s="48"/>
      <c r="G106" s="4"/>
      <c r="H106" s="47"/>
      <c r="I106" s="33"/>
      <c r="J106" s="33"/>
      <c r="K106" s="28"/>
      <c r="L106" s="33"/>
      <c r="M106" s="48"/>
    </row>
    <row r="107" spans="1:13" ht="13.5">
      <c r="A107" s="50" t="s">
        <v>228</v>
      </c>
      <c r="B107" s="284">
        <f>IF(Participants!G20&lt;&gt;"",Participants!G20,"")</f>
      </c>
      <c r="C107" s="406" t="s">
        <v>27</v>
      </c>
      <c r="D107" s="407"/>
      <c r="E107" s="407"/>
      <c r="F107" s="52">
        <f>MAX(O98:S98)</f>
        <v>0</v>
      </c>
      <c r="G107" s="4"/>
      <c r="H107" s="50" t="s">
        <v>228</v>
      </c>
      <c r="I107" s="284">
        <f>IF(Participants!G24&lt;&gt;"",Participants!G24,"")</f>
      </c>
      <c r="J107" s="406" t="s">
        <v>27</v>
      </c>
      <c r="K107" s="407"/>
      <c r="L107" s="407"/>
      <c r="M107" s="52">
        <f>MAX(V98:Z98)</f>
        <v>0</v>
      </c>
    </row>
    <row r="108" spans="1:13" ht="13.5">
      <c r="A108" s="50" t="s">
        <v>300</v>
      </c>
      <c r="B108" s="284">
        <f>F105</f>
        <v>0</v>
      </c>
      <c r="C108" s="283" t="s">
        <v>299</v>
      </c>
      <c r="D108" s="274">
        <f>IF($S$6=0,_xlfn.IFERROR(VLOOKUP(C96,classement,4,FALSE),""),0)</f>
        <v>0</v>
      </c>
      <c r="E108" s="30"/>
      <c r="F108" s="123"/>
      <c r="G108" s="4"/>
      <c r="H108" s="50" t="s">
        <v>300</v>
      </c>
      <c r="I108" s="284">
        <f>M105</f>
        <v>0</v>
      </c>
      <c r="J108" s="283" t="s">
        <v>299</v>
      </c>
      <c r="K108" s="274">
        <f>IF($S$6=0,_xlfn.IFERROR(VLOOKUP(J96,classement,4,FALSE),""),0)</f>
        <v>0</v>
      </c>
      <c r="L108" s="30"/>
      <c r="M108" s="123"/>
    </row>
    <row r="109" spans="1:13" ht="13.5">
      <c r="A109" s="50" t="s">
        <v>26</v>
      </c>
      <c r="B109" s="284">
        <f>IF($S$6=0,_xlfn.IFERROR(VLOOKUP(C96,classement,5,FALSE),0),"")</f>
      </c>
      <c r="C109" s="54" t="s">
        <v>28</v>
      </c>
      <c r="D109" s="51"/>
      <c r="E109" s="29"/>
      <c r="F109" s="55"/>
      <c r="G109" s="4"/>
      <c r="H109" s="50" t="s">
        <v>26</v>
      </c>
      <c r="I109" s="284">
        <f>IF($S$6=0,_xlfn.IFERROR(VLOOKUP(J96,classement,5,FALSE),0),"")</f>
      </c>
      <c r="J109" s="54" t="s">
        <v>28</v>
      </c>
      <c r="K109" s="51"/>
      <c r="L109" s="29"/>
      <c r="M109" s="55"/>
    </row>
    <row r="110" spans="1:13" ht="12.75">
      <c r="A110" s="56" t="s">
        <v>229</v>
      </c>
      <c r="B110" s="275">
        <f>SUM(B107,B109,F105)</f>
        <v>0</v>
      </c>
      <c r="C110" s="57"/>
      <c r="D110" s="124"/>
      <c r="E110" s="124"/>
      <c r="F110" s="125"/>
      <c r="G110" s="4"/>
      <c r="H110" s="56" t="s">
        <v>229</v>
      </c>
      <c r="I110" s="275">
        <f>SUM(I107,I109,M105)</f>
        <v>0</v>
      </c>
      <c r="J110" s="57"/>
      <c r="K110" s="124"/>
      <c r="L110" s="124"/>
      <c r="M110" s="125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25.5" customHeight="1">
      <c r="A113" s="390" t="s">
        <v>186</v>
      </c>
      <c r="B113" s="391"/>
      <c r="C113" s="391"/>
      <c r="D113" s="391"/>
      <c r="E113" s="391"/>
      <c r="F113" s="4"/>
      <c r="G113" s="4"/>
      <c r="H113" s="230" t="s">
        <v>0</v>
      </c>
      <c r="I113" s="385">
        <f>IF(Participants!B5&lt;&gt;"",Participants!B5,"")</f>
      </c>
      <c r="J113" s="386"/>
      <c r="K113" s="386"/>
      <c r="L113" s="386"/>
      <c r="M113" s="387"/>
    </row>
    <row r="114" spans="1:13" ht="15.75">
      <c r="A114" s="382" t="s">
        <v>188</v>
      </c>
      <c r="B114" s="383"/>
      <c r="C114" s="383"/>
      <c r="D114" s="384"/>
      <c r="E114" s="242">
        <f>MAX(D20,K20,D36,K36,D52,K52,D73,K73,D89,K89,D105,K105)</f>
        <v>0</v>
      </c>
      <c r="F114" s="4"/>
      <c r="G114" s="4"/>
      <c r="H114" s="388" t="s">
        <v>187</v>
      </c>
      <c r="I114" s="231"/>
      <c r="J114" s="232"/>
      <c r="K114" s="232"/>
      <c r="L114" s="232"/>
      <c r="M114" s="233"/>
    </row>
    <row r="115" spans="1:13" ht="15.75">
      <c r="A115" s="382" t="s">
        <v>189</v>
      </c>
      <c r="B115" s="383"/>
      <c r="C115" s="383"/>
      <c r="D115" s="384"/>
      <c r="E115" s="241">
        <f>MAX(F22,M22,F38,M38,F54,M54,F75,M75,F91,M91,F107,M107)</f>
        <v>0</v>
      </c>
      <c r="F115" s="4"/>
      <c r="G115" s="4"/>
      <c r="H115" s="389"/>
      <c r="I115" s="234"/>
      <c r="J115" s="235"/>
      <c r="K115" s="235"/>
      <c r="L115" s="235"/>
      <c r="M115" s="236"/>
    </row>
    <row r="116" spans="1:13" ht="15.75">
      <c r="A116" s="382" t="s">
        <v>191</v>
      </c>
      <c r="B116" s="383"/>
      <c r="C116" s="383"/>
      <c r="D116" s="384"/>
      <c r="E116" s="243">
        <f>SUM(B20,I20,B36,I36,B52,I52,B73,I73,B89,I89,B105,I105)</f>
        <v>0</v>
      </c>
      <c r="F116" s="4"/>
      <c r="G116" s="4"/>
      <c r="H116" s="4"/>
      <c r="I116" s="234"/>
      <c r="J116" s="235"/>
      <c r="K116" s="235"/>
      <c r="L116" s="235"/>
      <c r="M116" s="236"/>
    </row>
    <row r="117" spans="1:13" ht="15.75">
      <c r="A117" s="382" t="s">
        <v>192</v>
      </c>
      <c r="B117" s="383"/>
      <c r="C117" s="383"/>
      <c r="D117" s="384"/>
      <c r="E117" s="243">
        <f>SUM(C20,J20,C36,J36,C52,J52,C73,J73,C89,J89,C105,J105)</f>
        <v>0</v>
      </c>
      <c r="F117" s="4"/>
      <c r="G117" s="4"/>
      <c r="H117" s="4"/>
      <c r="I117" s="234"/>
      <c r="J117" s="235"/>
      <c r="K117" s="235"/>
      <c r="L117" s="235"/>
      <c r="M117" s="236"/>
    </row>
    <row r="118" spans="1:13" ht="15.75">
      <c r="A118" s="382" t="s">
        <v>190</v>
      </c>
      <c r="B118" s="383"/>
      <c r="C118" s="383"/>
      <c r="D118" s="384"/>
      <c r="E118" s="241">
        <f>IF(E117&gt;0,E116/E117,0)</f>
        <v>0</v>
      </c>
      <c r="F118" s="4"/>
      <c r="G118" s="4"/>
      <c r="H118" s="4"/>
      <c r="I118" s="238"/>
      <c r="J118" s="239"/>
      <c r="K118" s="239"/>
      <c r="L118" s="239"/>
      <c r="M118" s="240"/>
    </row>
    <row r="119" spans="5:13" ht="15.75">
      <c r="E119" s="237"/>
      <c r="F119" s="4"/>
      <c r="G119" s="4"/>
      <c r="H119" s="4"/>
      <c r="I119" s="232"/>
      <c r="J119" s="232"/>
      <c r="K119" s="232"/>
      <c r="L119" s="232"/>
      <c r="M119" s="232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</sheetData>
  <sheetProtection password="CA59" sheet="1" selectLockedCells="1" selectUnlockedCells="1"/>
  <mergeCells count="79">
    <mergeCell ref="C107:E107"/>
    <mergeCell ref="J107:L107"/>
    <mergeCell ref="C38:E38"/>
    <mergeCell ref="J38:L38"/>
    <mergeCell ref="C54:E54"/>
    <mergeCell ref="J54:L54"/>
    <mergeCell ref="C75:E75"/>
    <mergeCell ref="J75:L75"/>
    <mergeCell ref="C64:F64"/>
    <mergeCell ref="C80:F80"/>
    <mergeCell ref="AD59:AF59"/>
    <mergeCell ref="J80:M80"/>
    <mergeCell ref="AD64:AF64"/>
    <mergeCell ref="AD65:AF65"/>
    <mergeCell ref="AD57:AF57"/>
    <mergeCell ref="J65:M65"/>
    <mergeCell ref="O65:S65"/>
    <mergeCell ref="O97:S97"/>
    <mergeCell ref="J96:M96"/>
    <mergeCell ref="J97:M97"/>
    <mergeCell ref="AD63:AF63"/>
    <mergeCell ref="U97:Y97"/>
    <mergeCell ref="J81:M81"/>
    <mergeCell ref="J91:L91"/>
    <mergeCell ref="C96:F96"/>
    <mergeCell ref="C81:F81"/>
    <mergeCell ref="C97:F97"/>
    <mergeCell ref="C65:F65"/>
    <mergeCell ref="C91:E91"/>
    <mergeCell ref="I5:M5"/>
    <mergeCell ref="J12:M12"/>
    <mergeCell ref="J28:M28"/>
    <mergeCell ref="C27:F27"/>
    <mergeCell ref="J27:M27"/>
    <mergeCell ref="J11:M11"/>
    <mergeCell ref="I8:M8"/>
    <mergeCell ref="B8:F8"/>
    <mergeCell ref="A1:M1"/>
    <mergeCell ref="A2:M2"/>
    <mergeCell ref="B4:F4"/>
    <mergeCell ref="I4:K4"/>
    <mergeCell ref="C43:F43"/>
    <mergeCell ref="J43:M43"/>
    <mergeCell ref="I6:M6"/>
    <mergeCell ref="C12:F12"/>
    <mergeCell ref="B6:F6"/>
    <mergeCell ref="B7:F7"/>
    <mergeCell ref="C22:E22"/>
    <mergeCell ref="J22:L22"/>
    <mergeCell ref="C28:F28"/>
    <mergeCell ref="C11:F11"/>
    <mergeCell ref="C44:F44"/>
    <mergeCell ref="J44:M44"/>
    <mergeCell ref="AD66:AF66"/>
    <mergeCell ref="O12:S12"/>
    <mergeCell ref="O81:S81"/>
    <mergeCell ref="AD55:AF55"/>
    <mergeCell ref="O28:S28"/>
    <mergeCell ref="O44:S44"/>
    <mergeCell ref="J64:M64"/>
    <mergeCell ref="U12:Y12"/>
    <mergeCell ref="U28:Y28"/>
    <mergeCell ref="U44:Y44"/>
    <mergeCell ref="U65:Y65"/>
    <mergeCell ref="U81:Y81"/>
    <mergeCell ref="AD58:AF58"/>
    <mergeCell ref="AD60:AF60"/>
    <mergeCell ref="AD61:AF61"/>
    <mergeCell ref="AD62:AF62"/>
    <mergeCell ref="AD54:AF54"/>
    <mergeCell ref="AD56:AF56"/>
    <mergeCell ref="A117:D117"/>
    <mergeCell ref="A118:D118"/>
    <mergeCell ref="I113:M113"/>
    <mergeCell ref="H114:H115"/>
    <mergeCell ref="A113:E113"/>
    <mergeCell ref="A114:D114"/>
    <mergeCell ref="A115:D115"/>
    <mergeCell ref="A116:D116"/>
  </mergeCells>
  <printOptions horizontalCentered="1"/>
  <pageMargins left="0" right="0" top="0.3937007874015748" bottom="0.3937007874015748" header="0" footer="0"/>
  <pageSetup fitToHeight="0" fitToWidth="0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showGridLines="0" showRowColHeaders="0" zoomScalePageLayoutView="0" workbookViewId="0" topLeftCell="A1">
      <selection activeCell="S20" sqref="R20:S22"/>
    </sheetView>
  </sheetViews>
  <sheetFormatPr defaultColWidth="12" defaultRowHeight="12.75"/>
  <cols>
    <col min="1" max="1" width="6.83203125" style="0" customWidth="1"/>
    <col min="2" max="2" width="27.83203125" style="0" customWidth="1"/>
    <col min="3" max="3" width="9.83203125" style="0" customWidth="1"/>
    <col min="4" max="6" width="9.16015625" style="0" customWidth="1"/>
    <col min="7" max="7" width="9.83203125" style="0" customWidth="1"/>
    <col min="8" max="8" width="27.83203125" style="0" customWidth="1"/>
    <col min="9" max="9" width="9.83203125" style="0" customWidth="1"/>
    <col min="10" max="12" width="7.83203125" style="0" customWidth="1"/>
    <col min="13" max="13" width="9.83203125" style="0" customWidth="1"/>
  </cols>
  <sheetData>
    <row r="1" spans="1:13" ht="30.75" thickBot="1">
      <c r="A1" s="422" t="s">
        <v>216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4"/>
    </row>
    <row r="2" spans="1:13" ht="23.25">
      <c r="A2" s="255" t="s">
        <v>217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5.75">
      <c r="A3" s="256"/>
      <c r="B3" s="419" t="s">
        <v>218</v>
      </c>
      <c r="C3" s="419"/>
      <c r="D3" s="420">
        <f>Participants!K9</f>
        <v>0</v>
      </c>
      <c r="E3" s="420"/>
      <c r="F3" s="420"/>
      <c r="G3" s="420"/>
      <c r="H3" s="420"/>
      <c r="I3" s="256"/>
      <c r="J3" s="256"/>
      <c r="K3" s="256"/>
      <c r="L3" s="256"/>
      <c r="M3" s="256"/>
    </row>
    <row r="4" spans="1:13" ht="15.75">
      <c r="A4" s="256"/>
      <c r="B4" s="419" t="s">
        <v>219</v>
      </c>
      <c r="C4" s="419"/>
      <c r="D4" s="425">
        <f>Participants!B7</f>
        <v>0</v>
      </c>
      <c r="E4" s="425"/>
      <c r="F4" s="425"/>
      <c r="G4" s="425"/>
      <c r="H4" s="425"/>
      <c r="I4" s="256"/>
      <c r="J4" s="256"/>
      <c r="K4" s="256"/>
      <c r="L4" s="256"/>
      <c r="M4" s="256"/>
    </row>
    <row r="5" spans="1:13" ht="15.75">
      <c r="A5" s="256"/>
      <c r="B5" s="419" t="s">
        <v>220</v>
      </c>
      <c r="C5" s="419"/>
      <c r="D5" s="420">
        <f>Participants!D5</f>
        <v>0</v>
      </c>
      <c r="E5" s="420"/>
      <c r="F5" s="420"/>
      <c r="G5" s="420"/>
      <c r="H5" s="420"/>
      <c r="I5" s="256"/>
      <c r="J5" s="256"/>
      <c r="K5" s="256"/>
      <c r="L5" s="256"/>
      <c r="M5" s="256"/>
    </row>
    <row r="6" spans="1:13" ht="15.75">
      <c r="A6" s="256"/>
      <c r="B6" s="419" t="s">
        <v>221</v>
      </c>
      <c r="C6" s="419"/>
      <c r="D6" s="420">
        <f>Participants!E5</f>
        <v>0</v>
      </c>
      <c r="E6" s="420"/>
      <c r="F6" s="420"/>
      <c r="G6" s="420"/>
      <c r="H6" s="420"/>
      <c r="I6" s="256"/>
      <c r="J6" s="256"/>
      <c r="K6" s="256"/>
      <c r="L6" s="256"/>
      <c r="M6" s="256"/>
    </row>
    <row r="7" spans="1:13" ht="15.75">
      <c r="A7" s="256"/>
      <c r="B7" s="419" t="s">
        <v>222</v>
      </c>
      <c r="C7" s="419"/>
      <c r="D7" s="420">
        <f>Participants!F5</f>
        <v>0</v>
      </c>
      <c r="E7" s="420"/>
      <c r="F7" s="420"/>
      <c r="G7" s="420"/>
      <c r="H7" s="420"/>
      <c r="I7" s="256"/>
      <c r="J7" s="256"/>
      <c r="K7" s="256"/>
      <c r="L7" s="256"/>
      <c r="M7" s="256"/>
    </row>
    <row r="8" spans="1:13" ht="15.75">
      <c r="A8" s="256"/>
      <c r="B8" s="419" t="s">
        <v>223</v>
      </c>
      <c r="C8" s="419"/>
      <c r="D8" s="421">
        <f>Participants!E7</f>
        <v>0</v>
      </c>
      <c r="E8" s="421"/>
      <c r="F8" s="421"/>
      <c r="G8" s="421"/>
      <c r="H8" s="421"/>
      <c r="I8" s="256"/>
      <c r="J8" s="256"/>
      <c r="K8" s="256"/>
      <c r="L8" s="256"/>
      <c r="M8" s="256"/>
    </row>
    <row r="9" spans="1:13" ht="12.75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</row>
    <row r="10" spans="1:13" ht="27.75" customHeight="1">
      <c r="A10" s="256"/>
      <c r="B10" s="416" t="s">
        <v>224</v>
      </c>
      <c r="C10" s="417"/>
      <c r="D10" s="417"/>
      <c r="E10" s="417"/>
      <c r="F10" s="417"/>
      <c r="G10" s="418"/>
      <c r="H10" s="416" t="s">
        <v>225</v>
      </c>
      <c r="I10" s="417"/>
      <c r="J10" s="417"/>
      <c r="K10" s="417"/>
      <c r="L10" s="417"/>
      <c r="M10" s="418"/>
    </row>
    <row r="11" spans="1:13" ht="25.5">
      <c r="A11" s="257" t="s">
        <v>226</v>
      </c>
      <c r="B11" s="258" t="s">
        <v>181</v>
      </c>
      <c r="C11" s="259" t="s">
        <v>44</v>
      </c>
      <c r="D11" s="259" t="s">
        <v>7</v>
      </c>
      <c r="E11" s="259" t="s">
        <v>8</v>
      </c>
      <c r="F11" s="259" t="s">
        <v>9</v>
      </c>
      <c r="G11" s="260" t="s">
        <v>24</v>
      </c>
      <c r="H11" s="258" t="s">
        <v>181</v>
      </c>
      <c r="I11" s="259" t="s">
        <v>44</v>
      </c>
      <c r="J11" s="259" t="s">
        <v>7</v>
      </c>
      <c r="K11" s="259" t="s">
        <v>8</v>
      </c>
      <c r="L11" s="259" t="s">
        <v>9</v>
      </c>
      <c r="M11" s="260" t="s">
        <v>24</v>
      </c>
    </row>
    <row r="12" spans="1:13" ht="15" customHeight="1">
      <c r="A12" s="272">
        <v>1</v>
      </c>
      <c r="B12" s="261">
        <f>'Phase de poule'!C4</f>
      </c>
      <c r="C12" s="262">
        <f aca="true" t="shared" si="0" ref="C12:C31">_xlfn.IFERROR(VLOOKUP(B12,info_joueur,3,FALSE),"")</f>
      </c>
      <c r="D12" s="262">
        <f>IF('Phase de poule'!D4&lt;&gt;"",'Phase de poule'!D4,"")</f>
      </c>
      <c r="E12" s="262">
        <f>IF('Phase de poule'!E4&lt;&gt;"",'Phase de poule'!E4,"")</f>
      </c>
      <c r="F12" s="262">
        <f>IF('Phase de poule'!F4&lt;&gt;"",'Phase de poule'!F4,"")</f>
      </c>
      <c r="G12" s="262">
        <f>IF('Phase de poule'!G4&lt;&gt;"",'Phase de poule'!G4,"")</f>
      </c>
      <c r="H12" s="261">
        <f>'Phase de poule'!C5</f>
      </c>
      <c r="I12" s="262">
        <f aca="true" t="shared" si="1" ref="I12:I31">_xlfn.IFERROR(VLOOKUP(H12,info_joueur,3,FALSE),"")</f>
      </c>
      <c r="J12" s="262">
        <f>IF('Phase de poule'!D5&lt;&gt;"",'Phase de poule'!D5,"")</f>
      </c>
      <c r="K12" s="262">
        <f>IF('Phase de poule'!E5&lt;&gt;"",'Phase de poule'!E5,"")</f>
      </c>
      <c r="L12" s="262">
        <f>IF('Phase de poule'!F5&lt;&gt;"",'Phase de poule'!F5,"")</f>
      </c>
      <c r="M12" s="262">
        <f>IF('Phase de poule'!G5&lt;&gt;"",'Phase de poule'!G5,"")</f>
      </c>
    </row>
    <row r="13" spans="1:13" ht="15" customHeight="1">
      <c r="A13" s="263">
        <v>2</v>
      </c>
      <c r="B13" s="264">
        <f>'Phase de poule'!C6</f>
      </c>
      <c r="C13" s="265">
        <f t="shared" si="0"/>
      </c>
      <c r="D13" s="265">
        <f>IF('Phase de poule'!D6&lt;&gt;"",'Phase de poule'!D6,"")</f>
      </c>
      <c r="E13" s="265">
        <f>IF('Phase de poule'!E6&lt;&gt;"",'Phase de poule'!E6,"")</f>
      </c>
      <c r="F13" s="265">
        <f>IF('Phase de poule'!F6&lt;&gt;"",'Phase de poule'!F6,"")</f>
      </c>
      <c r="G13" s="265">
        <f>IF('Phase de poule'!G6&lt;&gt;"",'Phase de poule'!G6,"")</f>
      </c>
      <c r="H13" s="264">
        <f>'Phase de poule'!C7</f>
      </c>
      <c r="I13" s="265">
        <f t="shared" si="1"/>
      </c>
      <c r="J13" s="265">
        <f>IF('Phase de poule'!D7&lt;&gt;"",'Phase de poule'!D7,"")</f>
      </c>
      <c r="K13" s="265">
        <f>IF('Phase de poule'!E7&lt;&gt;"",'Phase de poule'!E7,"")</f>
      </c>
      <c r="L13" s="265">
        <f>IF('Phase de poule'!F7&lt;&gt;"",'Phase de poule'!F7,"")</f>
      </c>
      <c r="M13" s="265">
        <f>IF('Phase de poule'!G7&lt;&gt;"",'Phase de poule'!G7,"")</f>
      </c>
    </row>
    <row r="14" spans="1:13" ht="15" customHeight="1">
      <c r="A14" s="273">
        <v>3</v>
      </c>
      <c r="B14" s="266">
        <f>'Phase de poule'!C8</f>
      </c>
      <c r="C14" s="267">
        <f t="shared" si="0"/>
      </c>
      <c r="D14" s="267">
        <f>IF('Phase de poule'!D8&lt;&gt;"",'Phase de poule'!D8,"")</f>
      </c>
      <c r="E14" s="267">
        <f>IF('Phase de poule'!E8&lt;&gt;"",'Phase de poule'!E8,"")</f>
      </c>
      <c r="F14" s="267">
        <f>IF('Phase de poule'!F8&lt;&gt;"",'Phase de poule'!F8,"")</f>
      </c>
      <c r="G14" s="267">
        <f>IF('Phase de poule'!G8&lt;&gt;"",'Phase de poule'!G8,"")</f>
      </c>
      <c r="H14" s="266">
        <f>'Phase de poule'!C9</f>
      </c>
      <c r="I14" s="267">
        <f t="shared" si="1"/>
      </c>
      <c r="J14" s="267">
        <f>IF('Phase de poule'!D9&lt;&gt;"",'Phase de poule'!D9,"")</f>
      </c>
      <c r="K14" s="267">
        <f>IF('Phase de poule'!E9&lt;&gt;"",'Phase de poule'!E9,"")</f>
      </c>
      <c r="L14" s="267">
        <f>IF('Phase de poule'!F9&lt;&gt;"",'Phase de poule'!F9,"")</f>
      </c>
      <c r="M14" s="267">
        <f>IF('Phase de poule'!G9&lt;&gt;"",'Phase de poule'!G9,"")</f>
      </c>
    </row>
    <row r="15" spans="1:13" ht="15" customHeight="1">
      <c r="A15" s="263">
        <v>4</v>
      </c>
      <c r="B15" s="264">
        <f>'Phase de poule'!C10</f>
      </c>
      <c r="C15" s="265">
        <f t="shared" si="0"/>
      </c>
      <c r="D15" s="265">
        <f>IF('Phase de poule'!D10&lt;&gt;"",'Phase de poule'!D10,"")</f>
      </c>
      <c r="E15" s="265">
        <f>IF('Phase de poule'!E10&lt;&gt;"",'Phase de poule'!E10,"")</f>
      </c>
      <c r="F15" s="265">
        <f>IF('Phase de poule'!F10&lt;&gt;"",'Phase de poule'!F10,"")</f>
      </c>
      <c r="G15" s="265">
        <f>IF('Phase de poule'!G10&lt;&gt;"",'Phase de poule'!G10,"")</f>
      </c>
      <c r="H15" s="264">
        <f>'Phase de poule'!C11</f>
      </c>
      <c r="I15" s="265">
        <f t="shared" si="1"/>
      </c>
      <c r="J15" s="265">
        <f>IF('Phase de poule'!D11&lt;&gt;"",'Phase de poule'!D11,"")</f>
      </c>
      <c r="K15" s="265">
        <f>IF('Phase de poule'!E11&lt;&gt;"",'Phase de poule'!E11,"")</f>
      </c>
      <c r="L15" s="265">
        <f>IF('Phase de poule'!F11&lt;&gt;"",'Phase de poule'!F11,"")</f>
      </c>
      <c r="M15" s="265">
        <f>IF('Phase de poule'!G11&lt;&gt;"",'Phase de poule'!G11,"")</f>
      </c>
    </row>
    <row r="16" spans="1:13" ht="15" customHeight="1">
      <c r="A16" s="273">
        <v>5</v>
      </c>
      <c r="B16" s="266">
        <f>'Phase de poule'!C13</f>
      </c>
      <c r="C16" s="267">
        <f t="shared" si="0"/>
      </c>
      <c r="D16" s="267">
        <f>IF('Phase de poule'!D13&lt;&gt;"",'Phase de poule'!D13,"")</f>
      </c>
      <c r="E16" s="267">
        <f>IF('Phase de poule'!E13&lt;&gt;"",'Phase de poule'!E13,"")</f>
      </c>
      <c r="F16" s="267">
        <f>IF('Phase de poule'!F13&lt;&gt;"",'Phase de poule'!F13,"")</f>
      </c>
      <c r="G16" s="267">
        <f>IF('Phase de poule'!G13&lt;&gt;"",'Phase de poule'!G13,"")</f>
      </c>
      <c r="H16" s="266">
        <f>'Phase de poule'!C14</f>
      </c>
      <c r="I16" s="267">
        <f t="shared" si="1"/>
      </c>
      <c r="J16" s="267">
        <f>IF('Phase de poule'!D14&lt;&gt;"",'Phase de poule'!D14,"")</f>
      </c>
      <c r="K16" s="267">
        <f>IF('Phase de poule'!E14&lt;&gt;"",'Phase de poule'!E14,"")</f>
      </c>
      <c r="L16" s="267">
        <f>IF('Phase de poule'!F14&lt;&gt;"",'Phase de poule'!F14,"")</f>
      </c>
      <c r="M16" s="267">
        <f>IF('Phase de poule'!G14&lt;&gt;"",'Phase de poule'!G14,"")</f>
      </c>
    </row>
    <row r="17" spans="1:13" ht="15" customHeight="1">
      <c r="A17" s="263">
        <v>6</v>
      </c>
      <c r="B17" s="264">
        <f>'Phase de poule'!C15</f>
      </c>
      <c r="C17" s="265">
        <f t="shared" si="0"/>
      </c>
      <c r="D17" s="265">
        <f>IF('Phase de poule'!D15&lt;&gt;"",'Phase de poule'!D15,"")</f>
      </c>
      <c r="E17" s="265">
        <f>IF('Phase de poule'!E15&lt;&gt;"",'Phase de poule'!E15,"")</f>
      </c>
      <c r="F17" s="265">
        <f>IF('Phase de poule'!F15&lt;&gt;"",'Phase de poule'!F15,"")</f>
      </c>
      <c r="G17" s="265">
        <f>IF('Phase de poule'!G15&lt;&gt;"",'Phase de poule'!G15,"")</f>
      </c>
      <c r="H17" s="264">
        <f>'Phase de poule'!C16</f>
      </c>
      <c r="I17" s="265">
        <f t="shared" si="1"/>
      </c>
      <c r="J17" s="265">
        <f>IF('Phase de poule'!D16&lt;&gt;"",'Phase de poule'!D16,"")</f>
      </c>
      <c r="K17" s="265">
        <f>IF('Phase de poule'!E16&lt;&gt;"",'Phase de poule'!E16,"")</f>
      </c>
      <c r="L17" s="265">
        <f>IF('Phase de poule'!F16&lt;&gt;"",'Phase de poule'!F16,"")</f>
      </c>
      <c r="M17" s="265">
        <f>IF('Phase de poule'!G16&lt;&gt;"",'Phase de poule'!G16,"")</f>
      </c>
    </row>
    <row r="18" spans="1:13" ht="15" customHeight="1">
      <c r="A18" s="273">
        <v>7</v>
      </c>
      <c r="B18" s="266">
        <f>'Phase de poule'!C17</f>
      </c>
      <c r="C18" s="267">
        <f t="shared" si="0"/>
      </c>
      <c r="D18" s="267">
        <f>IF('Phase de poule'!D17&lt;&gt;"",'Phase de poule'!D17,"")</f>
      </c>
      <c r="E18" s="267">
        <f>IF('Phase de poule'!E17&lt;&gt;"",'Phase de poule'!E17,"")</f>
      </c>
      <c r="F18" s="267">
        <f>IF('Phase de poule'!F17&lt;&gt;"",'Phase de poule'!F17,"")</f>
      </c>
      <c r="G18" s="267">
        <f>IF('Phase de poule'!G17&lt;&gt;"",'Phase de poule'!G17,"")</f>
      </c>
      <c r="H18" s="266">
        <f>'Phase de poule'!C18</f>
      </c>
      <c r="I18" s="267">
        <f t="shared" si="1"/>
      </c>
      <c r="J18" s="267">
        <f>IF('Phase de poule'!D18&lt;&gt;"",'Phase de poule'!D18,"")</f>
      </c>
      <c r="K18" s="267">
        <f>IF('Phase de poule'!E18&lt;&gt;"",'Phase de poule'!E18,"")</f>
      </c>
      <c r="L18" s="267">
        <f>IF('Phase de poule'!F18&lt;&gt;"",'Phase de poule'!F18,"")</f>
      </c>
      <c r="M18" s="267">
        <f>IF('Phase de poule'!G18&lt;&gt;"",'Phase de poule'!G18,"")</f>
      </c>
    </row>
    <row r="19" spans="1:13" ht="15" customHeight="1">
      <c r="A19" s="263">
        <v>8</v>
      </c>
      <c r="B19" s="264">
        <f>'Phase de poule'!C19</f>
      </c>
      <c r="C19" s="265">
        <f t="shared" si="0"/>
      </c>
      <c r="D19" s="265">
        <f>IF('Phase de poule'!D19&lt;&gt;"",'Phase de poule'!D19,"")</f>
      </c>
      <c r="E19" s="265">
        <f>IF('Phase de poule'!E19&lt;&gt;"",'Phase de poule'!E19,"")</f>
      </c>
      <c r="F19" s="265">
        <f>IF('Phase de poule'!F19&lt;&gt;"",'Phase de poule'!F19,"")</f>
      </c>
      <c r="G19" s="265">
        <f>IF('Phase de poule'!G19&lt;&gt;"",'Phase de poule'!G19,"")</f>
      </c>
      <c r="H19" s="264">
        <f>'Phase de poule'!C20</f>
      </c>
      <c r="I19" s="265">
        <f t="shared" si="1"/>
      </c>
      <c r="J19" s="265">
        <f>IF('Phase de poule'!D20&lt;&gt;"",'Phase de poule'!D20,"")</f>
      </c>
      <c r="K19" s="265">
        <f>IF('Phase de poule'!E20&lt;&gt;"",'Phase de poule'!E20,"")</f>
      </c>
      <c r="L19" s="265">
        <f>IF('Phase de poule'!F20&lt;&gt;"",'Phase de poule'!F20,"")</f>
      </c>
      <c r="M19" s="265">
        <f>IF('Phase de poule'!G20&lt;&gt;"",'Phase de poule'!G20,"")</f>
      </c>
    </row>
    <row r="20" spans="1:13" ht="15" customHeight="1">
      <c r="A20" s="273">
        <v>9</v>
      </c>
      <c r="B20" s="266">
        <f>'Phase de poule'!C22</f>
      </c>
      <c r="C20" s="267">
        <f t="shared" si="0"/>
      </c>
      <c r="D20" s="267">
        <f>IF('Phase de poule'!D22&lt;&gt;"",'Phase de poule'!D22,"")</f>
      </c>
      <c r="E20" s="267">
        <f>IF('Phase de poule'!E22&lt;&gt;"",'Phase de poule'!E22,"")</f>
      </c>
      <c r="F20" s="267">
        <f>IF('Phase de poule'!F22&lt;&gt;"",'Phase de poule'!F22,"")</f>
      </c>
      <c r="G20" s="267">
        <f>IF('Phase de poule'!G22&lt;&gt;"",'Phase de poule'!G22,"")</f>
      </c>
      <c r="H20" s="266">
        <f>'Phase de poule'!C23</f>
      </c>
      <c r="I20" s="267">
        <f t="shared" si="1"/>
      </c>
      <c r="J20" s="267">
        <f>IF('Phase de poule'!D23&lt;&gt;"",'Phase de poule'!D23,"")</f>
      </c>
      <c r="K20" s="267">
        <f>IF('Phase de poule'!E23&lt;&gt;"",'Phase de poule'!E23,"")</f>
      </c>
      <c r="L20" s="267">
        <f>IF('Phase de poule'!F23&lt;&gt;"",'Phase de poule'!F23,"")</f>
      </c>
      <c r="M20" s="267">
        <f>IF('Phase de poule'!G23&lt;&gt;"",'Phase de poule'!G23,"")</f>
      </c>
    </row>
    <row r="21" spans="1:13" ht="15" customHeight="1">
      <c r="A21" s="263">
        <v>10</v>
      </c>
      <c r="B21" s="264">
        <f>'Phase de poule'!C24</f>
      </c>
      <c r="C21" s="265">
        <f t="shared" si="0"/>
      </c>
      <c r="D21" s="265">
        <f>IF('Phase de poule'!D24&lt;&gt;"",'Phase de poule'!D24,"")</f>
      </c>
      <c r="E21" s="265">
        <f>IF('Phase de poule'!E24&lt;&gt;"",'Phase de poule'!E24,"")</f>
      </c>
      <c r="F21" s="265">
        <f>IF('Phase de poule'!F24&lt;&gt;"",'Phase de poule'!F24,"")</f>
      </c>
      <c r="G21" s="265">
        <f>IF('Phase de poule'!G24&lt;&gt;"",'Phase de poule'!G24,"")</f>
      </c>
      <c r="H21" s="264">
        <f>'Phase de poule'!C25</f>
      </c>
      <c r="I21" s="265">
        <f t="shared" si="1"/>
      </c>
      <c r="J21" s="265">
        <f>IF('Phase de poule'!D25&lt;&gt;"",'Phase de poule'!D25,"")</f>
      </c>
      <c r="K21" s="265">
        <f>IF('Phase de poule'!E25&lt;&gt;"",'Phase de poule'!E25,"")</f>
      </c>
      <c r="L21" s="265">
        <f>IF('Phase de poule'!F25&lt;&gt;"",'Phase de poule'!F25,"")</f>
      </c>
      <c r="M21" s="265">
        <f>IF('Phase de poule'!G25&lt;&gt;"",'Phase de poule'!G25,"")</f>
      </c>
    </row>
    <row r="22" spans="1:13" ht="15" customHeight="1">
      <c r="A22" s="273">
        <v>11</v>
      </c>
      <c r="B22" s="266">
        <f>'Phase de poule'!C26</f>
      </c>
      <c r="C22" s="267">
        <f t="shared" si="0"/>
      </c>
      <c r="D22" s="267">
        <f>IF('Phase de poule'!D26&lt;&gt;"",'Phase de poule'!D26,"")</f>
      </c>
      <c r="E22" s="267">
        <f>IF('Phase de poule'!E26&lt;&gt;"",'Phase de poule'!E26,"")</f>
      </c>
      <c r="F22" s="267">
        <f>IF('Phase de poule'!F26&lt;&gt;"",'Phase de poule'!F26,"")</f>
      </c>
      <c r="G22" s="267">
        <f>IF('Phase de poule'!G26&lt;&gt;"",'Phase de poule'!G26,"")</f>
      </c>
      <c r="H22" s="266">
        <f>'Phase de poule'!C27</f>
      </c>
      <c r="I22" s="267">
        <f t="shared" si="1"/>
      </c>
      <c r="J22" s="267">
        <f>IF('Phase de poule'!D27&lt;&gt;"",'Phase de poule'!D27,"")</f>
      </c>
      <c r="K22" s="267">
        <f>IF('Phase de poule'!E27&lt;&gt;"",'Phase de poule'!E27,"")</f>
      </c>
      <c r="L22" s="267">
        <f>IF('Phase de poule'!F27&lt;&gt;"",'Phase de poule'!F27,"")</f>
      </c>
      <c r="M22" s="267">
        <f>IF('Phase de poule'!G27&lt;&gt;"",'Phase de poule'!G27,"")</f>
      </c>
    </row>
    <row r="23" spans="1:13" ht="15" customHeight="1">
      <c r="A23" s="263">
        <v>12</v>
      </c>
      <c r="B23" s="264">
        <f>'Phase de poule'!C28</f>
      </c>
      <c r="C23" s="265">
        <f t="shared" si="0"/>
      </c>
      <c r="D23" s="265">
        <f>IF('Phase de poule'!D28&lt;&gt;"",'Phase de poule'!D28,"")</f>
      </c>
      <c r="E23" s="265">
        <f>IF('Phase de poule'!E28&lt;&gt;"",'Phase de poule'!E28,"")</f>
      </c>
      <c r="F23" s="265">
        <f>IF('Phase de poule'!F28&lt;&gt;"",'Phase de poule'!F28,"")</f>
      </c>
      <c r="G23" s="265">
        <f>IF('Phase de poule'!G28&lt;&gt;"",'Phase de poule'!G28,"")</f>
      </c>
      <c r="H23" s="264">
        <f>'Phase de poule'!C29</f>
      </c>
      <c r="I23" s="265">
        <f t="shared" si="1"/>
      </c>
      <c r="J23" s="265">
        <f>IF('Phase de poule'!D29&lt;&gt;"",'Phase de poule'!D29,"")</f>
      </c>
      <c r="K23" s="265">
        <f>IF('Phase de poule'!E29&lt;&gt;"",'Phase de poule'!E29,"")</f>
      </c>
      <c r="L23" s="265">
        <f>IF('Phase de poule'!F29&lt;&gt;"",'Phase de poule'!F29,"")</f>
      </c>
      <c r="M23" s="265">
        <f>IF('Phase de poule'!G29&lt;&gt;"",'Phase de poule'!G29,"")</f>
      </c>
    </row>
    <row r="24" spans="1:13" ht="15" customHeight="1">
      <c r="A24" s="273">
        <v>13</v>
      </c>
      <c r="B24" s="266">
        <f>'Phase finale'!C4</f>
      </c>
      <c r="C24" s="267">
        <f t="shared" si="0"/>
      </c>
      <c r="D24" s="267">
        <f>IF('Phase finale'!E4&lt;&gt;"",'Phase finale'!E4,"")</f>
      </c>
      <c r="E24" s="267">
        <f>IF('Phase finale'!F4&lt;&gt;"",'Phase finale'!F4,"")</f>
      </c>
      <c r="F24" s="267">
        <f>IF('Phase finale'!G4&lt;&gt;"",'Phase finale'!G4,"")</f>
      </c>
      <c r="G24" s="267">
        <f>IF('Phase finale'!H4&lt;&gt;"",'Phase finale'!H4,"")</f>
      </c>
      <c r="H24" s="266">
        <f>'Phase finale'!C5</f>
      </c>
      <c r="I24" s="267">
        <f t="shared" si="1"/>
      </c>
      <c r="J24" s="267">
        <f>IF('Phase finale'!E5&lt;&gt;"",'Phase finale'!E5,"")</f>
      </c>
      <c r="K24" s="267">
        <f>IF('Phase finale'!F5&lt;&gt;"",'Phase finale'!F5,"")</f>
      </c>
      <c r="L24" s="267">
        <f>IF('Phase finale'!G5&lt;&gt;"",'Phase finale'!G5,"")</f>
      </c>
      <c r="M24" s="267">
        <f>IF('Phase finale'!H5&lt;&gt;"",'Phase finale'!H5,"")</f>
      </c>
    </row>
    <row r="25" spans="1:13" ht="15" customHeight="1">
      <c r="A25" s="263">
        <v>14</v>
      </c>
      <c r="B25" s="264">
        <f>'Phase finale'!C6</f>
      </c>
      <c r="C25" s="265">
        <f t="shared" si="0"/>
      </c>
      <c r="D25" s="265">
        <f>IF('Phase finale'!E6&lt;&gt;"",'Phase finale'!E6,"")</f>
      </c>
      <c r="E25" s="265">
        <f>IF('Phase finale'!F6&lt;&gt;"",'Phase finale'!F6,"")</f>
      </c>
      <c r="F25" s="265">
        <f>IF('Phase finale'!G6&lt;&gt;"",'Phase finale'!G6,"")</f>
      </c>
      <c r="G25" s="265">
        <f>IF('Phase finale'!H6&lt;&gt;"",'Phase finale'!H6,"")</f>
      </c>
      <c r="H25" s="264">
        <f>'Phase finale'!C7</f>
      </c>
      <c r="I25" s="265">
        <f t="shared" si="1"/>
      </c>
      <c r="J25" s="265">
        <f>IF('Phase finale'!E7&lt;&gt;"",'Phase finale'!E7,"")</f>
      </c>
      <c r="K25" s="265">
        <f>IF('Phase finale'!F7&lt;&gt;"",'Phase finale'!F7,"")</f>
      </c>
      <c r="L25" s="265">
        <f>IF('Phase finale'!G7&lt;&gt;"",'Phase finale'!G7,"")</f>
      </c>
      <c r="M25" s="265">
        <f>IF('Phase finale'!H7&lt;&gt;"",'Phase finale'!H7,"")</f>
      </c>
    </row>
    <row r="26" spans="1:13" ht="15" customHeight="1">
      <c r="A26" s="273">
        <v>15</v>
      </c>
      <c r="B26" s="266">
        <f>'Phase finale'!C8</f>
      </c>
      <c r="C26" s="267">
        <f t="shared" si="0"/>
      </c>
      <c r="D26" s="267">
        <f>IF('Phase finale'!E8&lt;&gt;"",'Phase finale'!E8,"")</f>
      </c>
      <c r="E26" s="267">
        <f>IF('Phase finale'!F8&lt;&gt;"",'Phase finale'!F8,"")</f>
      </c>
      <c r="F26" s="267">
        <f>IF('Phase finale'!G8&lt;&gt;"",'Phase finale'!G8,"")</f>
      </c>
      <c r="G26" s="267">
        <f>IF('Phase finale'!H8&lt;&gt;"",'Phase finale'!H8,"")</f>
      </c>
      <c r="H26" s="266">
        <f>'Phase finale'!C9</f>
      </c>
      <c r="I26" s="267">
        <f t="shared" si="1"/>
      </c>
      <c r="J26" s="267">
        <f>IF('Phase finale'!E9&lt;&gt;"",'Phase finale'!E9,"")</f>
      </c>
      <c r="K26" s="267">
        <f>IF('Phase finale'!F9&lt;&gt;"",'Phase finale'!F9,"")</f>
      </c>
      <c r="L26" s="267">
        <f>IF('Phase finale'!G9&lt;&gt;"",'Phase finale'!G9,"")</f>
      </c>
      <c r="M26" s="267">
        <f>IF('Phase finale'!H9&lt;&gt;"",'Phase finale'!H9,"")</f>
      </c>
    </row>
    <row r="27" spans="1:13" ht="15" customHeight="1">
      <c r="A27" s="263">
        <v>16</v>
      </c>
      <c r="B27" s="264">
        <f>'Phase finale'!C10</f>
      </c>
      <c r="C27" s="265">
        <f t="shared" si="0"/>
      </c>
      <c r="D27" s="265">
        <f>IF('Phase finale'!E10&lt;&gt;"",'Phase finale'!E10,"")</f>
      </c>
      <c r="E27" s="265">
        <f>IF('Phase finale'!F10&lt;&gt;"",'Phase finale'!F10,"")</f>
      </c>
      <c r="F27" s="265">
        <f>IF('Phase finale'!G10&lt;&gt;"",'Phase finale'!G10,"")</f>
      </c>
      <c r="G27" s="265">
        <f>IF('Phase finale'!H10&lt;&gt;"",'Phase finale'!H10,"")</f>
      </c>
      <c r="H27" s="264">
        <f>'Phase finale'!C11</f>
      </c>
      <c r="I27" s="265">
        <f t="shared" si="1"/>
      </c>
      <c r="J27" s="265">
        <f>IF('Phase finale'!E11&lt;&gt;"",'Phase finale'!E11,"")</f>
      </c>
      <c r="K27" s="265">
        <f>IF('Phase finale'!F11&lt;&gt;"",'Phase finale'!F11,"")</f>
      </c>
      <c r="L27" s="265">
        <f>IF('Phase finale'!G11&lt;&gt;"",'Phase finale'!G11,"")</f>
      </c>
      <c r="M27" s="265">
        <f>IF('Phase finale'!H11&lt;&gt;"",'Phase finale'!H11,"")</f>
      </c>
    </row>
    <row r="28" spans="1:13" ht="15" customHeight="1">
      <c r="A28" s="273">
        <v>17</v>
      </c>
      <c r="B28" s="266">
        <f>'Phase finale'!C13</f>
      </c>
      <c r="C28" s="267">
        <f t="shared" si="0"/>
      </c>
      <c r="D28" s="267">
        <f>IF('Phase finale'!E13&lt;&gt;"",'Phase finale'!E13,"")</f>
      </c>
      <c r="E28" s="267">
        <f>IF('Phase finale'!F13&lt;&gt;"",'Phase finale'!F13,"")</f>
      </c>
      <c r="F28" s="267">
        <f>IF('Phase finale'!G13&lt;&gt;"",'Phase finale'!G13,"")</f>
      </c>
      <c r="G28" s="267">
        <f>IF('Phase finale'!H13&lt;&gt;"",'Phase finale'!H13,"")</f>
      </c>
      <c r="H28" s="266">
        <f>'Phase finale'!C14</f>
      </c>
      <c r="I28" s="267">
        <f t="shared" si="1"/>
      </c>
      <c r="J28" s="267">
        <f>IF('Phase finale'!E14&lt;&gt;"",'Phase finale'!E14,"")</f>
      </c>
      <c r="K28" s="267">
        <f>IF('Phase finale'!F14&lt;&gt;"",'Phase finale'!F14,"")</f>
      </c>
      <c r="L28" s="267">
        <f>IF('Phase finale'!G14&lt;&gt;"",'Phase finale'!G14,"")</f>
      </c>
      <c r="M28" s="267">
        <f>IF('Phase finale'!H14&lt;&gt;"",'Phase finale'!H14,"")</f>
      </c>
    </row>
    <row r="29" spans="1:13" ht="15" customHeight="1">
      <c r="A29" s="263">
        <v>18</v>
      </c>
      <c r="B29" s="264">
        <f>'Phase finale'!C15</f>
      </c>
      <c r="C29" s="265">
        <f t="shared" si="0"/>
      </c>
      <c r="D29" s="265">
        <f>IF('Phase finale'!E15&lt;&gt;"",'Phase finale'!E15,"")</f>
      </c>
      <c r="E29" s="265">
        <f>IF('Phase finale'!F15&lt;&gt;"",'Phase finale'!F15,"")</f>
      </c>
      <c r="F29" s="265">
        <f>IF('Phase finale'!G15&lt;&gt;"",'Phase finale'!G15,"")</f>
      </c>
      <c r="G29" s="265">
        <f>IF('Phase finale'!H15&lt;&gt;"",'Phase finale'!H15,"")</f>
      </c>
      <c r="H29" s="264">
        <f>'Phase finale'!C16</f>
      </c>
      <c r="I29" s="265">
        <f t="shared" si="1"/>
      </c>
      <c r="J29" s="265">
        <f>IF('Phase finale'!E16&lt;&gt;"",'Phase finale'!E16,"")</f>
      </c>
      <c r="K29" s="265">
        <f>IF('Phase finale'!F16&lt;&gt;"",'Phase finale'!F16,"")</f>
      </c>
      <c r="L29" s="265">
        <f>IF('Phase finale'!G16&lt;&gt;"",'Phase finale'!G16,"")</f>
      </c>
      <c r="M29" s="265">
        <f>IF('Phase finale'!H16&lt;&gt;"",'Phase finale'!H16,"")</f>
      </c>
    </row>
    <row r="30" spans="1:13" ht="15" customHeight="1">
      <c r="A30" s="273">
        <v>19</v>
      </c>
      <c r="B30" s="266">
        <f>'Phase finale'!C17</f>
      </c>
      <c r="C30" s="267">
        <f t="shared" si="0"/>
      </c>
      <c r="D30" s="267">
        <f>IF('Phase finale'!E17&lt;&gt;"",'Phase finale'!E17,"")</f>
      </c>
      <c r="E30" s="267">
        <f>IF('Phase finale'!F17&lt;&gt;"",'Phase finale'!F17,"")</f>
      </c>
      <c r="F30" s="267">
        <f>IF('Phase finale'!G17&lt;&gt;"",'Phase finale'!G17,"")</f>
      </c>
      <c r="G30" s="267">
        <f>IF('Phase finale'!H17&lt;&gt;"",'Phase finale'!H17,"")</f>
      </c>
      <c r="H30" s="266">
        <f>'Phase finale'!C18</f>
      </c>
      <c r="I30" s="267">
        <f t="shared" si="1"/>
      </c>
      <c r="J30" s="267">
        <f>IF('Phase finale'!E18&lt;&gt;"",'Phase finale'!E18,"")</f>
      </c>
      <c r="K30" s="267">
        <f>IF('Phase finale'!F18&lt;&gt;"",'Phase finale'!F18,"")</f>
      </c>
      <c r="L30" s="267">
        <f>IF('Phase finale'!G18&lt;&gt;"",'Phase finale'!G18,"")</f>
      </c>
      <c r="M30" s="267">
        <f>IF('Phase finale'!H18&lt;&gt;"",'Phase finale'!H18,"")</f>
      </c>
    </row>
    <row r="31" spans="1:13" ht="15" customHeight="1">
      <c r="A31" s="268">
        <v>20</v>
      </c>
      <c r="B31" s="270">
        <f>'Phase finale'!C19</f>
      </c>
      <c r="C31" s="271">
        <f t="shared" si="0"/>
      </c>
      <c r="D31" s="271">
        <f>IF('Phase finale'!E19&lt;&gt;"",'Phase finale'!E19,"")</f>
      </c>
      <c r="E31" s="271">
        <f>IF('Phase finale'!F19&lt;&gt;"",'Phase finale'!F19,"")</f>
      </c>
      <c r="F31" s="271">
        <f>IF('Phase finale'!G19&lt;&gt;"",'Phase finale'!G19,"")</f>
      </c>
      <c r="G31" s="271">
        <f>IF('Phase finale'!H19&lt;&gt;"",'Phase finale'!H19,"")</f>
      </c>
      <c r="H31" s="270">
        <f>'Phase finale'!C20</f>
      </c>
      <c r="I31" s="271">
        <f t="shared" si="1"/>
      </c>
      <c r="J31" s="271">
        <f>IF('Phase finale'!E20&lt;&gt;"",'Phase finale'!E20,"")</f>
      </c>
      <c r="K31" s="271">
        <f>IF('Phase finale'!F20&lt;&gt;"",'Phase finale'!F20,"")</f>
      </c>
      <c r="L31" s="271">
        <f>IF('Phase finale'!G20&lt;&gt;"",'Phase finale'!G20,"")</f>
      </c>
      <c r="M31" s="271">
        <f>IF('Phase finale'!H20&lt;&gt;"",'Phase finale'!H20,"")</f>
      </c>
    </row>
    <row r="32" spans="1:13" ht="15.75">
      <c r="A32" s="269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</row>
  </sheetData>
  <sheetProtection password="CA59" sheet="1" selectLockedCells="1" selectUnlockedCells="1"/>
  <mergeCells count="15">
    <mergeCell ref="A1:M1"/>
    <mergeCell ref="B3:C3"/>
    <mergeCell ref="D3:H3"/>
    <mergeCell ref="B4:C4"/>
    <mergeCell ref="D4:H4"/>
    <mergeCell ref="B5:C5"/>
    <mergeCell ref="D5:H5"/>
    <mergeCell ref="B10:G10"/>
    <mergeCell ref="H10:M10"/>
    <mergeCell ref="B6:C6"/>
    <mergeCell ref="D6:H6"/>
    <mergeCell ref="B7:C7"/>
    <mergeCell ref="D7:H7"/>
    <mergeCell ref="B8:C8"/>
    <mergeCell ref="D8:H8"/>
  </mergeCell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Pierre VIGNE</cp:lastModifiedBy>
  <cp:lastPrinted>2018-08-29T08:04:08Z</cp:lastPrinted>
  <dcterms:created xsi:type="dcterms:W3CDTF">2002-12-29T10:38:03Z</dcterms:created>
  <dcterms:modified xsi:type="dcterms:W3CDTF">2022-10-31T12:10:36Z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